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programdirector/Desktop/"/>
    </mc:Choice>
  </mc:AlternateContent>
  <xr:revisionPtr revIDLastSave="0" documentId="8_{FE140D66-75EB-9D47-B605-E19516FF57BD}" xr6:coauthVersionLast="47" xr6:coauthVersionMax="47" xr10:uidLastSave="{00000000-0000-0000-0000-000000000000}"/>
  <bookViews>
    <workbookView xWindow="0" yWindow="500" windowWidth="28800" windowHeight="18000" xr2:uid="{00000000-000D-0000-FFFF-FFFF00000000}"/>
  </bookViews>
  <sheets>
    <sheet name="Update" sheetId="9" r:id="rId1"/>
    <sheet name="Comps &amp; Projections" sheetId="7" r:id="rId2"/>
    <sheet name="YTD 2023" sheetId="2" r:id="rId3"/>
    <sheet name="2022" sheetId="1" r:id="rId4"/>
    <sheet name="2021" sheetId="3" r:id="rId5"/>
    <sheet name="2020" sheetId="4" r:id="rId6"/>
    <sheet name="2019" sheetId="6" r:id="rId7"/>
    <sheet name="Pass Fares" sheetId="8" r:id="rId8"/>
  </sheets>
  <externalReferences>
    <externalReference r:id="rId9"/>
    <externalReference r:id="rId10"/>
    <externalReference r:id="rId11"/>
  </externalReferences>
  <definedNames>
    <definedName name="_xlnm.Print_Area" localSheetId="6">'2019'!$B$2:$Q$20</definedName>
    <definedName name="_xlnm.Print_Area" localSheetId="5">'2020'!$B$2:$Q$20</definedName>
    <definedName name="_xlnm.Print_Area" localSheetId="4">'2021'!$B$2:$Q$20</definedName>
    <definedName name="_xlnm.Print_Area" localSheetId="3">'2022'!$B$2:$Q$20</definedName>
    <definedName name="_xlnm.Print_Area" localSheetId="2">'YTD 2023'!$B$2:$Q$19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7" i="9" l="1"/>
  <c r="E56" i="9"/>
  <c r="E55" i="9"/>
  <c r="E54" i="9"/>
  <c r="E53" i="9"/>
  <c r="E52" i="9"/>
  <c r="E7" i="8"/>
  <c r="B7" i="8"/>
  <c r="C7" i="8"/>
  <c r="D7" i="8"/>
  <c r="D8" i="8"/>
  <c r="D9" i="8"/>
  <c r="K10" i="3" l="1"/>
  <c r="K9" i="3"/>
  <c r="K8" i="3"/>
  <c r="K7" i="3"/>
  <c r="K6" i="3"/>
  <c r="K17" i="3"/>
  <c r="K16" i="3"/>
  <c r="K15" i="3"/>
  <c r="K14" i="3"/>
  <c r="K13" i="3"/>
  <c r="K12" i="3"/>
  <c r="K11" i="3"/>
  <c r="K17" i="4"/>
  <c r="K16" i="4"/>
  <c r="K15" i="4"/>
  <c r="K14" i="4"/>
  <c r="K13" i="4"/>
  <c r="K12" i="4"/>
  <c r="K11" i="4"/>
  <c r="K10" i="4"/>
  <c r="K9" i="4"/>
  <c r="K8" i="4"/>
  <c r="K7" i="4"/>
  <c r="K6" i="4"/>
  <c r="K16" i="6"/>
  <c r="K15" i="6"/>
  <c r="K14" i="6"/>
  <c r="K13" i="6"/>
  <c r="K12" i="6"/>
  <c r="K11" i="6"/>
  <c r="K10" i="6"/>
  <c r="K9" i="6"/>
  <c r="K8" i="6"/>
  <c r="K7" i="6"/>
  <c r="K6" i="6"/>
  <c r="D49" i="7" l="1"/>
  <c r="D50" i="7"/>
  <c r="D51" i="7"/>
  <c r="D46" i="7"/>
  <c r="D47" i="7"/>
  <c r="D48" i="7"/>
  <c r="T17" i="6" l="1"/>
  <c r="S17" i="6"/>
  <c r="Q9" i="2" l="1"/>
  <c r="Q8" i="2"/>
  <c r="Q7" i="2"/>
  <c r="Q6" i="2"/>
  <c r="O9" i="2"/>
  <c r="O8" i="2"/>
  <c r="O7" i="2"/>
  <c r="O6" i="2"/>
  <c r="N9" i="2"/>
  <c r="N8" i="2"/>
  <c r="N7" i="2"/>
  <c r="N6" i="2"/>
  <c r="M9" i="2"/>
  <c r="M8" i="2"/>
  <c r="M7" i="2"/>
  <c r="M6" i="2"/>
  <c r="L9" i="2"/>
  <c r="L8" i="2"/>
  <c r="L6" i="2"/>
  <c r="K9" i="2"/>
  <c r="K8" i="2"/>
  <c r="K7" i="2"/>
  <c r="K6" i="2"/>
  <c r="J9" i="2"/>
  <c r="J8" i="2"/>
  <c r="J7" i="2"/>
  <c r="J6" i="2"/>
  <c r="I9" i="2"/>
  <c r="I8" i="2"/>
  <c r="I7" i="2"/>
  <c r="I6" i="2"/>
  <c r="H9" i="2"/>
  <c r="H8" i="2"/>
  <c r="H7" i="2"/>
  <c r="H6" i="2"/>
  <c r="G9" i="2"/>
  <c r="G8" i="2"/>
  <c r="G7" i="2"/>
  <c r="G6" i="2"/>
  <c r="F9" i="2"/>
  <c r="F8" i="2"/>
  <c r="F7" i="2"/>
  <c r="F6" i="2"/>
  <c r="E9" i="2"/>
  <c r="E8" i="2"/>
  <c r="E7" i="2"/>
  <c r="E6" i="2"/>
  <c r="D9" i="2"/>
  <c r="D8" i="2"/>
  <c r="D7" i="2"/>
  <c r="D6" i="2"/>
  <c r="C35" i="7" l="1"/>
  <c r="D41" i="9"/>
  <c r="C33" i="7"/>
  <c r="D39" i="9"/>
  <c r="C34" i="7"/>
  <c r="D40" i="9"/>
  <c r="C36" i="7"/>
  <c r="D42" i="9"/>
  <c r="I16" i="6"/>
  <c r="J16" i="6"/>
  <c r="J15" i="6"/>
  <c r="J14" i="6"/>
  <c r="J13" i="6"/>
  <c r="E21" i="9" s="1"/>
  <c r="J12" i="6"/>
  <c r="E28" i="9" s="1"/>
  <c r="J11" i="6"/>
  <c r="E35" i="9" s="1"/>
  <c r="J10" i="6"/>
  <c r="J9" i="6"/>
  <c r="J8" i="6"/>
  <c r="J7" i="6"/>
  <c r="J6" i="6"/>
  <c r="I15" i="6"/>
  <c r="I14" i="6"/>
  <c r="I11" i="6"/>
  <c r="G35" i="9" s="1"/>
  <c r="I10" i="6"/>
  <c r="I12" i="6"/>
  <c r="G28" i="9" s="1"/>
  <c r="I13" i="6"/>
  <c r="G21" i="9" s="1"/>
  <c r="I9" i="6"/>
  <c r="I8" i="6"/>
  <c r="I7" i="6"/>
  <c r="I6" i="6"/>
  <c r="H16" i="6"/>
  <c r="H15" i="6"/>
  <c r="H14" i="6"/>
  <c r="H13" i="6"/>
  <c r="H12" i="6"/>
  <c r="H11" i="6"/>
  <c r="H10" i="6"/>
  <c r="H9" i="6"/>
  <c r="H8" i="6"/>
  <c r="H7" i="6"/>
  <c r="H6" i="6"/>
  <c r="G16" i="6"/>
  <c r="G15" i="6"/>
  <c r="G14" i="6"/>
  <c r="G13" i="6"/>
  <c r="G12" i="6"/>
  <c r="G11" i="6"/>
  <c r="G10" i="6"/>
  <c r="G9" i="6"/>
  <c r="G8" i="6"/>
  <c r="G7" i="6"/>
  <c r="G6" i="6"/>
  <c r="F16" i="6"/>
  <c r="F15" i="6"/>
  <c r="F14" i="6"/>
  <c r="E14" i="6" s="1"/>
  <c r="F13" i="6"/>
  <c r="F12" i="6"/>
  <c r="F11" i="6"/>
  <c r="F10" i="6"/>
  <c r="F9" i="6"/>
  <c r="F8" i="6"/>
  <c r="F7" i="6"/>
  <c r="F6" i="6"/>
  <c r="E17" i="6"/>
  <c r="O17" i="6"/>
  <c r="O16" i="6" l="1"/>
  <c r="O11" i="6"/>
  <c r="O7" i="6"/>
  <c r="E6" i="6"/>
  <c r="O13" i="6"/>
  <c r="D14" i="6"/>
  <c r="O14" i="6"/>
  <c r="E12" i="6"/>
  <c r="O10" i="6"/>
  <c r="E9" i="6"/>
  <c r="D9" i="6" s="1"/>
  <c r="O8" i="6"/>
  <c r="E15" i="6"/>
  <c r="D15" i="6" s="1"/>
  <c r="E13" i="6"/>
  <c r="O12" i="6"/>
  <c r="E11" i="6"/>
  <c r="E10" i="6"/>
  <c r="D10" i="6" s="1"/>
  <c r="O9" i="6"/>
  <c r="E8" i="6"/>
  <c r="D8" i="6" s="1"/>
  <c r="E7" i="6"/>
  <c r="O6" i="6"/>
  <c r="E16" i="6"/>
  <c r="D16" i="6" s="1"/>
  <c r="O15" i="6"/>
  <c r="J16" i="4"/>
  <c r="J15" i="4"/>
  <c r="J14" i="4"/>
  <c r="J13" i="4"/>
  <c r="E20" i="9" s="1"/>
  <c r="J12" i="4"/>
  <c r="E27" i="9" s="1"/>
  <c r="J11" i="4"/>
  <c r="E34" i="9" s="1"/>
  <c r="J10" i="4"/>
  <c r="J9" i="4"/>
  <c r="J8" i="4"/>
  <c r="J7" i="4"/>
  <c r="J6" i="4"/>
  <c r="I17" i="4"/>
  <c r="I16" i="4"/>
  <c r="I15" i="4"/>
  <c r="I14" i="4"/>
  <c r="I12" i="4"/>
  <c r="G27" i="9" s="1"/>
  <c r="I13" i="4"/>
  <c r="G20" i="9" s="1"/>
  <c r="I11" i="4"/>
  <c r="G34" i="9" s="1"/>
  <c r="I10" i="4"/>
  <c r="I9" i="4"/>
  <c r="I8" i="4"/>
  <c r="H16" i="4"/>
  <c r="H17" i="4"/>
  <c r="H15" i="4"/>
  <c r="H14" i="4"/>
  <c r="H13" i="4"/>
  <c r="H12" i="4"/>
  <c r="H11" i="4"/>
  <c r="H10" i="4"/>
  <c r="H9" i="4"/>
  <c r="H8" i="4"/>
  <c r="G17" i="4"/>
  <c r="G16" i="4"/>
  <c r="G15" i="4"/>
  <c r="G14" i="4"/>
  <c r="G13" i="4"/>
  <c r="G12" i="4"/>
  <c r="G11" i="4"/>
  <c r="G10" i="4"/>
  <c r="G9" i="4"/>
  <c r="G8" i="4"/>
  <c r="F11" i="4"/>
  <c r="O11" i="4" s="1"/>
  <c r="F10" i="4"/>
  <c r="F9" i="4"/>
  <c r="F8" i="4"/>
  <c r="I7" i="4"/>
  <c r="H7" i="4"/>
  <c r="G7" i="4"/>
  <c r="H6" i="4"/>
  <c r="I6" i="4"/>
  <c r="G6" i="4"/>
  <c r="F17" i="4"/>
  <c r="F16" i="4"/>
  <c r="F15" i="4"/>
  <c r="F14" i="4"/>
  <c r="F13" i="4"/>
  <c r="F12" i="4"/>
  <c r="F7" i="4"/>
  <c r="O7" i="4" s="1"/>
  <c r="F6" i="4"/>
  <c r="J17" i="4"/>
  <c r="Q17" i="3"/>
  <c r="D11" i="6" l="1"/>
  <c r="D35" i="9" s="1"/>
  <c r="F35" i="9"/>
  <c r="H35" i="9" s="1"/>
  <c r="O14" i="4"/>
  <c r="D13" i="6"/>
  <c r="D21" i="9" s="1"/>
  <c r="F21" i="9"/>
  <c r="H21" i="9" s="1"/>
  <c r="O15" i="4"/>
  <c r="H27" i="9"/>
  <c r="D12" i="6"/>
  <c r="D28" i="9" s="1"/>
  <c r="F28" i="9"/>
  <c r="H28" i="9" s="1"/>
  <c r="O20" i="6"/>
  <c r="O31" i="2" s="1"/>
  <c r="O19" i="6"/>
  <c r="O30" i="2" s="1"/>
  <c r="O16" i="4"/>
  <c r="P10" i="6"/>
  <c r="S10" i="6"/>
  <c r="T10" i="6"/>
  <c r="P14" i="6"/>
  <c r="T14" i="6"/>
  <c r="S14" i="6"/>
  <c r="P11" i="6"/>
  <c r="C29" i="7"/>
  <c r="T11" i="6"/>
  <c r="S11" i="6"/>
  <c r="P15" i="6"/>
  <c r="T15" i="6"/>
  <c r="S15" i="6"/>
  <c r="P16" i="6"/>
  <c r="T16" i="6"/>
  <c r="S16" i="6"/>
  <c r="P8" i="6"/>
  <c r="T8" i="6"/>
  <c r="S8" i="6"/>
  <c r="T13" i="6"/>
  <c r="S13" i="6"/>
  <c r="P9" i="6"/>
  <c r="S9" i="6"/>
  <c r="T9" i="6"/>
  <c r="P12" i="6"/>
  <c r="C22" i="7"/>
  <c r="T12" i="6"/>
  <c r="S12" i="6"/>
  <c r="O17" i="4"/>
  <c r="O8" i="4"/>
  <c r="O9" i="4"/>
  <c r="E6" i="4"/>
  <c r="D6" i="4" s="1"/>
  <c r="O6" i="4"/>
  <c r="O10" i="4"/>
  <c r="O12" i="4"/>
  <c r="D7" i="6"/>
  <c r="D6" i="6"/>
  <c r="O13" i="4"/>
  <c r="E15" i="4"/>
  <c r="D15" i="4" s="1"/>
  <c r="E9" i="4"/>
  <c r="D9" i="4" s="1"/>
  <c r="E14" i="4"/>
  <c r="D14" i="4" s="1"/>
  <c r="E10" i="4"/>
  <c r="D10" i="4" s="1"/>
  <c r="E16" i="4"/>
  <c r="D16" i="4" s="1"/>
  <c r="E13" i="4"/>
  <c r="E12" i="4"/>
  <c r="F27" i="9" s="1"/>
  <c r="E7" i="4"/>
  <c r="D7" i="4" s="1"/>
  <c r="E17" i="4"/>
  <c r="D17" i="4" s="1"/>
  <c r="D12" i="4"/>
  <c r="D27" i="9" s="1"/>
  <c r="I27" i="9" s="1"/>
  <c r="E11" i="4"/>
  <c r="E8" i="4"/>
  <c r="D8" i="4" s="1"/>
  <c r="F17" i="3"/>
  <c r="E17" i="3" s="1"/>
  <c r="D17" i="3" s="1"/>
  <c r="J17" i="3"/>
  <c r="I17" i="3"/>
  <c r="H17" i="3"/>
  <c r="G17" i="3"/>
  <c r="C15" i="7" l="1"/>
  <c r="D13" i="4"/>
  <c r="D20" i="9" s="1"/>
  <c r="I20" i="9" s="1"/>
  <c r="F20" i="9"/>
  <c r="H20" i="9" s="1"/>
  <c r="P13" i="6"/>
  <c r="D11" i="4"/>
  <c r="D34" i="9" s="1"/>
  <c r="I34" i="9" s="1"/>
  <c r="F34" i="9"/>
  <c r="H34" i="9" s="1"/>
  <c r="O19" i="4"/>
  <c r="O27" i="2" s="1"/>
  <c r="O20" i="4"/>
  <c r="O28" i="2" s="1"/>
  <c r="P17" i="3"/>
  <c r="T17" i="3"/>
  <c r="S17" i="3"/>
  <c r="P17" i="4"/>
  <c r="S17" i="4"/>
  <c r="T17" i="4"/>
  <c r="P7" i="4"/>
  <c r="S7" i="4"/>
  <c r="T7" i="4"/>
  <c r="P16" i="4"/>
  <c r="T16" i="4"/>
  <c r="S16" i="4"/>
  <c r="P10" i="4"/>
  <c r="S10" i="4"/>
  <c r="T10" i="4"/>
  <c r="P14" i="4"/>
  <c r="T14" i="4"/>
  <c r="S14" i="4"/>
  <c r="P9" i="4"/>
  <c r="S9" i="4"/>
  <c r="T9" i="4"/>
  <c r="P13" i="4"/>
  <c r="C14" i="7"/>
  <c r="D14" i="7" s="1"/>
  <c r="S13" i="4"/>
  <c r="P15" i="4"/>
  <c r="T15" i="4"/>
  <c r="S15" i="4"/>
  <c r="P8" i="4"/>
  <c r="T8" i="4"/>
  <c r="S8" i="4"/>
  <c r="P11" i="4"/>
  <c r="P12" i="4"/>
  <c r="C21" i="7"/>
  <c r="S12" i="4"/>
  <c r="T12" i="4"/>
  <c r="P6" i="4"/>
  <c r="T6" i="4"/>
  <c r="S6" i="4"/>
  <c r="P6" i="6"/>
  <c r="T6" i="6"/>
  <c r="S6" i="6"/>
  <c r="P7" i="6"/>
  <c r="T7" i="6"/>
  <c r="S7" i="6"/>
  <c r="O17" i="3"/>
  <c r="I16" i="3"/>
  <c r="F16" i="3"/>
  <c r="T11" i="4" l="1"/>
  <c r="S11" i="4"/>
  <c r="C28" i="7"/>
  <c r="T13" i="4"/>
  <c r="T20" i="4" s="1"/>
  <c r="D28" i="7"/>
  <c r="D21" i="7"/>
  <c r="S20" i="4"/>
  <c r="S20" i="6"/>
  <c r="T20" i="6"/>
  <c r="Q20" i="6"/>
  <c r="Q31" i="2" s="1"/>
  <c r="P20" i="6"/>
  <c r="P31" i="2" s="1"/>
  <c r="N20" i="6"/>
  <c r="N31" i="2" s="1"/>
  <c r="M20" i="6"/>
  <c r="M31" i="2" s="1"/>
  <c r="L20" i="6"/>
  <c r="L31" i="2" s="1"/>
  <c r="K20" i="6"/>
  <c r="K31" i="2" s="1"/>
  <c r="J20" i="6"/>
  <c r="J31" i="2" s="1"/>
  <c r="I20" i="6"/>
  <c r="I31" i="2" s="1"/>
  <c r="H20" i="6"/>
  <c r="H31" i="2" s="1"/>
  <c r="G20" i="6"/>
  <c r="G31" i="2" s="1"/>
  <c r="F20" i="6"/>
  <c r="F31" i="2" s="1"/>
  <c r="E20" i="6"/>
  <c r="E31" i="2" s="1"/>
  <c r="D20" i="6"/>
  <c r="D31" i="2" s="1"/>
  <c r="C20" i="6"/>
  <c r="C31" i="2" s="1"/>
  <c r="Q19" i="6"/>
  <c r="Q30" i="2" s="1"/>
  <c r="N19" i="6"/>
  <c r="N30" i="2" s="1"/>
  <c r="M19" i="6"/>
  <c r="M30" i="2" s="1"/>
  <c r="L19" i="6"/>
  <c r="L30" i="2" s="1"/>
  <c r="K19" i="6"/>
  <c r="K30" i="2" s="1"/>
  <c r="J19" i="6"/>
  <c r="J30" i="2" s="1"/>
  <c r="I19" i="6"/>
  <c r="I30" i="2" s="1"/>
  <c r="H19" i="6"/>
  <c r="H30" i="2" s="1"/>
  <c r="G19" i="6"/>
  <c r="G30" i="2" s="1"/>
  <c r="F19" i="6"/>
  <c r="F30" i="2" s="1"/>
  <c r="E19" i="6"/>
  <c r="E30" i="2" s="1"/>
  <c r="D19" i="6"/>
  <c r="D30" i="2" s="1"/>
  <c r="C19" i="6"/>
  <c r="C30" i="2" s="1"/>
  <c r="Q20" i="4"/>
  <c r="Q28" i="2" s="1"/>
  <c r="N20" i="4"/>
  <c r="N28" i="2" s="1"/>
  <c r="L20" i="4"/>
  <c r="L28" i="2" s="1"/>
  <c r="C20" i="4"/>
  <c r="C28" i="2" s="1"/>
  <c r="Q19" i="4"/>
  <c r="Q27" i="2" s="1"/>
  <c r="N19" i="4"/>
  <c r="N27" i="2" s="1"/>
  <c r="L19" i="4"/>
  <c r="L27" i="2" s="1"/>
  <c r="C19" i="4"/>
  <c r="C27" i="2" s="1"/>
  <c r="K20" i="4"/>
  <c r="K28" i="2" s="1"/>
  <c r="K19" i="4"/>
  <c r="K27" i="2" s="1"/>
  <c r="M19" i="4"/>
  <c r="M27" i="2" s="1"/>
  <c r="J19" i="4"/>
  <c r="J27" i="2" s="1"/>
  <c r="I19" i="4"/>
  <c r="I27" i="2" s="1"/>
  <c r="H19" i="4"/>
  <c r="H27" i="2" s="1"/>
  <c r="G19" i="4"/>
  <c r="G27" i="2" s="1"/>
  <c r="F19" i="4"/>
  <c r="F27" i="2" s="1"/>
  <c r="K20" i="3"/>
  <c r="K25" i="2" s="1"/>
  <c r="J16" i="3"/>
  <c r="J15" i="3"/>
  <c r="J14" i="3"/>
  <c r="J13" i="3"/>
  <c r="E19" i="9" s="1"/>
  <c r="J12" i="3"/>
  <c r="E26" i="9" s="1"/>
  <c r="J11" i="3"/>
  <c r="E33" i="9" s="1"/>
  <c r="J10" i="3"/>
  <c r="J9" i="3"/>
  <c r="J8" i="3"/>
  <c r="J7" i="3"/>
  <c r="J6" i="3"/>
  <c r="I15" i="3"/>
  <c r="I14" i="3"/>
  <c r="I13" i="3"/>
  <c r="G19" i="9" s="1"/>
  <c r="D11" i="9" s="1"/>
  <c r="E11" i="9" s="1"/>
  <c r="F11" i="9" s="1"/>
  <c r="I12" i="3"/>
  <c r="G26" i="9" s="1"/>
  <c r="I11" i="3"/>
  <c r="G33" i="9" s="1"/>
  <c r="I10" i="3"/>
  <c r="I9" i="3"/>
  <c r="I8" i="3"/>
  <c r="I7" i="3"/>
  <c r="I6" i="3"/>
  <c r="H16" i="3"/>
  <c r="H15" i="3"/>
  <c r="E15" i="3" s="1"/>
  <c r="D15" i="3" s="1"/>
  <c r="H14" i="3"/>
  <c r="H13" i="3"/>
  <c r="H12" i="3"/>
  <c r="H11" i="3"/>
  <c r="H10" i="3"/>
  <c r="H9" i="3"/>
  <c r="H8" i="3"/>
  <c r="H7" i="3"/>
  <c r="H6" i="3"/>
  <c r="G16" i="3"/>
  <c r="O16" i="3" s="1"/>
  <c r="G15" i="3"/>
  <c r="G14" i="3"/>
  <c r="G13" i="3"/>
  <c r="G12" i="3"/>
  <c r="G11" i="3"/>
  <c r="G10" i="3"/>
  <c r="G9" i="3"/>
  <c r="G8" i="3"/>
  <c r="G7" i="3"/>
  <c r="G6" i="3"/>
  <c r="F15" i="3"/>
  <c r="F14" i="3"/>
  <c r="F13" i="3"/>
  <c r="F12" i="3"/>
  <c r="F11" i="3"/>
  <c r="O11" i="3" s="1"/>
  <c r="F10" i="3"/>
  <c r="F9" i="3"/>
  <c r="F8" i="3"/>
  <c r="F7" i="3"/>
  <c r="F6" i="3"/>
  <c r="N20" i="3"/>
  <c r="N25" i="2" s="1"/>
  <c r="L20" i="3"/>
  <c r="L25" i="2" s="1"/>
  <c r="C20" i="3"/>
  <c r="C25" i="2" s="1"/>
  <c r="C19" i="3"/>
  <c r="C24" i="2" s="1"/>
  <c r="L19" i="3"/>
  <c r="L24" i="2" s="1"/>
  <c r="Q19" i="3"/>
  <c r="Q24" i="2" s="1"/>
  <c r="N19" i="3"/>
  <c r="N24" i="2" s="1"/>
  <c r="C19" i="2"/>
  <c r="C18" i="2"/>
  <c r="T16" i="2"/>
  <c r="T15" i="2"/>
  <c r="T14" i="2"/>
  <c r="T13" i="2"/>
  <c r="T12" i="2"/>
  <c r="T11" i="2"/>
  <c r="T10" i="2"/>
  <c r="T9" i="2"/>
  <c r="T8" i="2"/>
  <c r="T7" i="2"/>
  <c r="N19" i="2"/>
  <c r="M19" i="2"/>
  <c r="J18" i="2"/>
  <c r="I19" i="2"/>
  <c r="E18" i="2"/>
  <c r="T6" i="2"/>
  <c r="E7" i="3" l="1"/>
  <c r="D7" i="3" s="1"/>
  <c r="E12" i="3"/>
  <c r="C45" i="7"/>
  <c r="D51" i="9"/>
  <c r="E51" i="9" s="1"/>
  <c r="D9" i="9"/>
  <c r="E9" i="9" s="1"/>
  <c r="F9" i="9" s="1"/>
  <c r="O8" i="3"/>
  <c r="P7" i="3"/>
  <c r="S7" i="3"/>
  <c r="T7" i="3"/>
  <c r="P15" i="3"/>
  <c r="T15" i="3"/>
  <c r="S15" i="3"/>
  <c r="T31" i="2"/>
  <c r="S31" i="2"/>
  <c r="D45" i="7"/>
  <c r="E8" i="3"/>
  <c r="D8" i="3" s="1"/>
  <c r="O6" i="3"/>
  <c r="E6" i="3"/>
  <c r="D6" i="3" s="1"/>
  <c r="O7" i="3"/>
  <c r="O9" i="3"/>
  <c r="O10" i="3"/>
  <c r="E9" i="3"/>
  <c r="D9" i="3" s="1"/>
  <c r="O12" i="3"/>
  <c r="E14" i="3"/>
  <c r="D14" i="3" s="1"/>
  <c r="O14" i="3"/>
  <c r="O15" i="3"/>
  <c r="E10" i="3"/>
  <c r="D10" i="3" s="1"/>
  <c r="E16" i="3"/>
  <c r="D16" i="3" s="1"/>
  <c r="E13" i="3"/>
  <c r="O13" i="3"/>
  <c r="E11" i="3"/>
  <c r="T19" i="2"/>
  <c r="H18" i="2"/>
  <c r="L18" i="2"/>
  <c r="S7" i="2"/>
  <c r="P9" i="2"/>
  <c r="S8" i="2"/>
  <c r="S9" i="2"/>
  <c r="P8" i="2"/>
  <c r="G20" i="4"/>
  <c r="G28" i="2" s="1"/>
  <c r="H20" i="4"/>
  <c r="H28" i="2" s="1"/>
  <c r="F20" i="4"/>
  <c r="F28" i="2" s="1"/>
  <c r="I20" i="4"/>
  <c r="I28" i="2" s="1"/>
  <c r="J20" i="4"/>
  <c r="J28" i="2" s="1"/>
  <c r="M20" i="4"/>
  <c r="M28" i="2" s="1"/>
  <c r="M20" i="3"/>
  <c r="M25" i="2" s="1"/>
  <c r="K19" i="3"/>
  <c r="K24" i="2" s="1"/>
  <c r="F19" i="3"/>
  <c r="F24" i="2" s="1"/>
  <c r="M19" i="3"/>
  <c r="M24" i="2" s="1"/>
  <c r="J19" i="3"/>
  <c r="J24" i="2" s="1"/>
  <c r="J20" i="3"/>
  <c r="J25" i="2" s="1"/>
  <c r="I19" i="3"/>
  <c r="I24" i="2" s="1"/>
  <c r="H19" i="3"/>
  <c r="H24" i="2" s="1"/>
  <c r="G19" i="3"/>
  <c r="G24" i="2" s="1"/>
  <c r="F20" i="3"/>
  <c r="F25" i="2" s="1"/>
  <c r="G20" i="3"/>
  <c r="G25" i="2" s="1"/>
  <c r="H20" i="3"/>
  <c r="H25" i="2" s="1"/>
  <c r="I20" i="3"/>
  <c r="I25" i="2" s="1"/>
  <c r="Q20" i="3"/>
  <c r="Q25" i="2" s="1"/>
  <c r="O19" i="2"/>
  <c r="Q18" i="2"/>
  <c r="N18" i="2"/>
  <c r="O18" i="2"/>
  <c r="M18" i="2"/>
  <c r="F18" i="2"/>
  <c r="G18" i="2"/>
  <c r="K18" i="2"/>
  <c r="E19" i="2"/>
  <c r="D18" i="2"/>
  <c r="F19" i="2"/>
  <c r="G19" i="2"/>
  <c r="H19" i="2"/>
  <c r="J19" i="2"/>
  <c r="P7" i="2"/>
  <c r="I18" i="2"/>
  <c r="K19" i="2"/>
  <c r="P6" i="2"/>
  <c r="L19" i="2"/>
  <c r="S6" i="2"/>
  <c r="D19" i="2"/>
  <c r="Q19" i="2"/>
  <c r="O20" i="3" l="1"/>
  <c r="O25" i="2" s="1"/>
  <c r="O19" i="3"/>
  <c r="O24" i="2" s="1"/>
  <c r="E19" i="3"/>
  <c r="E24" i="2" s="1"/>
  <c r="D13" i="3"/>
  <c r="D19" i="9" s="1"/>
  <c r="I19" i="9" s="1"/>
  <c r="F19" i="9"/>
  <c r="D11" i="3"/>
  <c r="D33" i="9" s="1"/>
  <c r="I33" i="9" s="1"/>
  <c r="F33" i="9"/>
  <c r="H33" i="9" s="1"/>
  <c r="D12" i="3"/>
  <c r="F26" i="9"/>
  <c r="H26" i="9" s="1"/>
  <c r="P6" i="3"/>
  <c r="S6" i="3"/>
  <c r="T6" i="3"/>
  <c r="P8" i="3"/>
  <c r="S8" i="3"/>
  <c r="T8" i="3"/>
  <c r="P10" i="3"/>
  <c r="S10" i="3"/>
  <c r="T10" i="3"/>
  <c r="P9" i="3"/>
  <c r="S9" i="3"/>
  <c r="T9" i="3"/>
  <c r="P16" i="3"/>
  <c r="S16" i="3"/>
  <c r="T16" i="3"/>
  <c r="P14" i="3"/>
  <c r="T14" i="3"/>
  <c r="S14" i="3"/>
  <c r="P13" i="3"/>
  <c r="C13" i="7"/>
  <c r="T13" i="3"/>
  <c r="S13" i="3"/>
  <c r="E20" i="3"/>
  <c r="E25" i="2" s="1"/>
  <c r="P19" i="2"/>
  <c r="E4" i="7" s="1"/>
  <c r="S19" i="2"/>
  <c r="E19" i="4"/>
  <c r="E27" i="2" s="1"/>
  <c r="E20" i="4"/>
  <c r="E28" i="2" s="1"/>
  <c r="C20" i="1"/>
  <c r="C22" i="2" s="1"/>
  <c r="C19" i="1"/>
  <c r="C21" i="2" s="1"/>
  <c r="Q17" i="1"/>
  <c r="O17" i="1"/>
  <c r="N17" i="1"/>
  <c r="M17" i="1"/>
  <c r="L17" i="1"/>
  <c r="K17" i="1"/>
  <c r="J17" i="1"/>
  <c r="I17" i="1"/>
  <c r="H17" i="1"/>
  <c r="G17" i="1"/>
  <c r="F17" i="1"/>
  <c r="E17" i="1"/>
  <c r="D17" i="1"/>
  <c r="T17" i="1" s="1"/>
  <c r="Q16" i="1"/>
  <c r="O16" i="1"/>
  <c r="N16" i="1"/>
  <c r="L16" i="1"/>
  <c r="K16" i="1"/>
  <c r="J16" i="1"/>
  <c r="I16" i="1"/>
  <c r="H16" i="1"/>
  <c r="G16" i="1"/>
  <c r="F16" i="1"/>
  <c r="E16" i="1"/>
  <c r="D16" i="1"/>
  <c r="T16" i="1" s="1"/>
  <c r="Q15" i="1"/>
  <c r="O15" i="1"/>
  <c r="N15" i="1"/>
  <c r="M15" i="1"/>
  <c r="L15" i="1"/>
  <c r="K15" i="1"/>
  <c r="J15" i="1"/>
  <c r="I15" i="1"/>
  <c r="H15" i="1"/>
  <c r="G15" i="1"/>
  <c r="F15" i="1"/>
  <c r="E15" i="1"/>
  <c r="D15" i="1"/>
  <c r="Q14" i="1"/>
  <c r="O14" i="1"/>
  <c r="N14" i="1"/>
  <c r="M14" i="1"/>
  <c r="L14" i="1"/>
  <c r="K14" i="1"/>
  <c r="J14" i="1"/>
  <c r="I14" i="1"/>
  <c r="H14" i="1"/>
  <c r="G14" i="1"/>
  <c r="F14" i="1"/>
  <c r="E14" i="1"/>
  <c r="D14" i="1"/>
  <c r="T14" i="1" s="1"/>
  <c r="Q13" i="1"/>
  <c r="O13" i="1"/>
  <c r="N13" i="1"/>
  <c r="L13" i="1"/>
  <c r="K13" i="1"/>
  <c r="J13" i="1"/>
  <c r="E18" i="9" s="1"/>
  <c r="I13" i="1"/>
  <c r="G18" i="9" s="1"/>
  <c r="H13" i="1"/>
  <c r="G13" i="1"/>
  <c r="F13" i="1"/>
  <c r="E13" i="1"/>
  <c r="F18" i="9" s="1"/>
  <c r="D13" i="1"/>
  <c r="D18" i="9" s="1"/>
  <c r="Q12" i="1"/>
  <c r="O12" i="1"/>
  <c r="N12" i="1"/>
  <c r="K12" i="1"/>
  <c r="J12" i="1"/>
  <c r="E25" i="9" s="1"/>
  <c r="I12" i="1"/>
  <c r="G25" i="9" s="1"/>
  <c r="C8" i="9" s="1"/>
  <c r="E8" i="9" s="1"/>
  <c r="F8" i="9" s="1"/>
  <c r="H12" i="1"/>
  <c r="G12" i="1"/>
  <c r="F12" i="1"/>
  <c r="E12" i="1"/>
  <c r="F25" i="9" s="1"/>
  <c r="C7" i="9" s="1"/>
  <c r="E7" i="9" s="1"/>
  <c r="F7" i="9" s="1"/>
  <c r="D12" i="1"/>
  <c r="D25" i="9" s="1"/>
  <c r="Q11" i="1"/>
  <c r="O11" i="1"/>
  <c r="N11" i="1"/>
  <c r="M11" i="1"/>
  <c r="L11" i="1"/>
  <c r="K11" i="1"/>
  <c r="J11" i="1"/>
  <c r="E32" i="9" s="1"/>
  <c r="I11" i="1"/>
  <c r="G32" i="9" s="1"/>
  <c r="C5" i="9" s="1"/>
  <c r="E5" i="9" s="1"/>
  <c r="F5" i="9" s="1"/>
  <c r="H11" i="1"/>
  <c r="G11" i="1"/>
  <c r="F11" i="1"/>
  <c r="E11" i="1"/>
  <c r="F32" i="9" s="1"/>
  <c r="C4" i="9" s="1"/>
  <c r="E4" i="9" s="1"/>
  <c r="F4" i="9" s="1"/>
  <c r="D11" i="1"/>
  <c r="D32" i="9" s="1"/>
  <c r="Q10" i="1"/>
  <c r="O10" i="1"/>
  <c r="N10" i="1"/>
  <c r="M10" i="1"/>
  <c r="L10" i="1"/>
  <c r="K10" i="1"/>
  <c r="J10" i="1"/>
  <c r="I10" i="1"/>
  <c r="H10" i="1"/>
  <c r="G10" i="1"/>
  <c r="F10" i="1"/>
  <c r="E10" i="1"/>
  <c r="D10" i="1"/>
  <c r="T10" i="1" s="1"/>
  <c r="Q9" i="1"/>
  <c r="O9" i="1"/>
  <c r="N9" i="1"/>
  <c r="M9" i="1"/>
  <c r="L9" i="1"/>
  <c r="K9" i="1"/>
  <c r="J9" i="1"/>
  <c r="I9" i="1"/>
  <c r="H9" i="1"/>
  <c r="G9" i="1"/>
  <c r="F9" i="1"/>
  <c r="E9" i="1"/>
  <c r="D9" i="1"/>
  <c r="C42" i="9" s="1"/>
  <c r="E42" i="9" s="1"/>
  <c r="Q8" i="1"/>
  <c r="O8" i="1"/>
  <c r="N8" i="1"/>
  <c r="M8" i="1"/>
  <c r="L8" i="1"/>
  <c r="K8" i="1"/>
  <c r="J8" i="1"/>
  <c r="I8" i="1"/>
  <c r="H8" i="1"/>
  <c r="G8" i="1"/>
  <c r="F8" i="1"/>
  <c r="E8" i="1"/>
  <c r="D8" i="1"/>
  <c r="C41" i="9" s="1"/>
  <c r="E41" i="9" s="1"/>
  <c r="Q7" i="1"/>
  <c r="O7" i="1"/>
  <c r="N7" i="1"/>
  <c r="M7" i="1"/>
  <c r="L7" i="1"/>
  <c r="K7" i="1"/>
  <c r="J7" i="1"/>
  <c r="I7" i="1"/>
  <c r="H7" i="1"/>
  <c r="G7" i="1"/>
  <c r="F7" i="1"/>
  <c r="E7" i="1"/>
  <c r="D7" i="1"/>
  <c r="C40" i="9" s="1"/>
  <c r="E40" i="9" s="1"/>
  <c r="Q6" i="1"/>
  <c r="O6" i="1"/>
  <c r="N6" i="1"/>
  <c r="M6" i="1"/>
  <c r="L6" i="1"/>
  <c r="K6" i="1"/>
  <c r="J6" i="1"/>
  <c r="I6" i="1"/>
  <c r="H6" i="1"/>
  <c r="G6" i="1"/>
  <c r="F6" i="1"/>
  <c r="E6" i="1"/>
  <c r="D6" i="1"/>
  <c r="C39" i="9" s="1"/>
  <c r="E39" i="9" s="1"/>
  <c r="D19" i="3" l="1"/>
  <c r="D24" i="2" s="1"/>
  <c r="D10" i="9"/>
  <c r="E10" i="9" s="1"/>
  <c r="F10" i="9" s="1"/>
  <c r="H19" i="9"/>
  <c r="S11" i="3"/>
  <c r="C6" i="9"/>
  <c r="E6" i="9" s="1"/>
  <c r="F6" i="9" s="1"/>
  <c r="H25" i="9"/>
  <c r="D20" i="3"/>
  <c r="D25" i="2" s="1"/>
  <c r="T25" i="2" s="1"/>
  <c r="D26" i="9"/>
  <c r="I26" i="9" s="1"/>
  <c r="C20" i="7"/>
  <c r="D20" i="7" s="1"/>
  <c r="T12" i="3"/>
  <c r="T20" i="3" s="1"/>
  <c r="P12" i="3"/>
  <c r="S12" i="3"/>
  <c r="H18" i="9"/>
  <c r="I32" i="9"/>
  <c r="I18" i="9"/>
  <c r="T11" i="3"/>
  <c r="C3" i="9"/>
  <c r="E3" i="9" s="1"/>
  <c r="H32" i="9"/>
  <c r="C27" i="7"/>
  <c r="D27" i="7" s="1"/>
  <c r="E43" i="9"/>
  <c r="P11" i="3"/>
  <c r="P20" i="3"/>
  <c r="P25" i="2" s="1"/>
  <c r="S20" i="3"/>
  <c r="C5" i="7"/>
  <c r="D5" i="7" s="1"/>
  <c r="D13" i="7"/>
  <c r="T12" i="1"/>
  <c r="C19" i="7"/>
  <c r="T6" i="1"/>
  <c r="B33" i="7"/>
  <c r="D33" i="7" s="1"/>
  <c r="T11" i="1"/>
  <c r="C26" i="7"/>
  <c r="S12" i="1"/>
  <c r="S13" i="1"/>
  <c r="C12" i="7"/>
  <c r="D12" i="7" s="1"/>
  <c r="T9" i="1"/>
  <c r="B36" i="7"/>
  <c r="D36" i="7" s="1"/>
  <c r="T8" i="1"/>
  <c r="B35" i="7"/>
  <c r="D35" i="7" s="1"/>
  <c r="S16" i="1"/>
  <c r="T7" i="1"/>
  <c r="B34" i="7"/>
  <c r="D34" i="7" s="1"/>
  <c r="S15" i="1"/>
  <c r="N20" i="1"/>
  <c r="N22" i="2" s="1"/>
  <c r="P10" i="1"/>
  <c r="G20" i="1"/>
  <c r="G22" i="2" s="1"/>
  <c r="F20" i="1"/>
  <c r="F22" i="2" s="1"/>
  <c r="P9" i="1"/>
  <c r="S11" i="1"/>
  <c r="T13" i="1"/>
  <c r="M20" i="1"/>
  <c r="M22" i="2" s="1"/>
  <c r="S17" i="1"/>
  <c r="Q19" i="1"/>
  <c r="Q21" i="2" s="1"/>
  <c r="P11" i="1"/>
  <c r="P12" i="1"/>
  <c r="E20" i="1"/>
  <c r="E22" i="2" s="1"/>
  <c r="O20" i="1"/>
  <c r="O22" i="2" s="1"/>
  <c r="D19" i="4"/>
  <c r="D27" i="2" s="1"/>
  <c r="P20" i="4"/>
  <c r="P28" i="2" s="1"/>
  <c r="D20" i="4"/>
  <c r="D28" i="2" s="1"/>
  <c r="P17" i="1"/>
  <c r="P16" i="1"/>
  <c r="D19" i="1"/>
  <c r="D21" i="2" s="1"/>
  <c r="I20" i="1"/>
  <c r="I22" i="2" s="1"/>
  <c r="E19" i="1"/>
  <c r="E21" i="2" s="1"/>
  <c r="D20" i="1"/>
  <c r="D22" i="2" s="1"/>
  <c r="T22" i="2" s="1"/>
  <c r="P8" i="1"/>
  <c r="G19" i="1"/>
  <c r="G21" i="2" s="1"/>
  <c r="F19" i="1"/>
  <c r="F21" i="2" s="1"/>
  <c r="P7" i="1"/>
  <c r="S10" i="1"/>
  <c r="J19" i="1"/>
  <c r="J21" i="2" s="1"/>
  <c r="S9" i="1"/>
  <c r="K19" i="1"/>
  <c r="K21" i="2" s="1"/>
  <c r="H19" i="1"/>
  <c r="H21" i="2" s="1"/>
  <c r="K20" i="1"/>
  <c r="K22" i="2" s="1"/>
  <c r="L19" i="1"/>
  <c r="L21" i="2" s="1"/>
  <c r="P15" i="1"/>
  <c r="L20" i="1"/>
  <c r="L22" i="2" s="1"/>
  <c r="S8" i="1"/>
  <c r="M19" i="1"/>
  <c r="M21" i="2" s="1"/>
  <c r="P14" i="1"/>
  <c r="S7" i="1"/>
  <c r="P13" i="1"/>
  <c r="T15" i="1"/>
  <c r="O19" i="1"/>
  <c r="O21" i="2" s="1"/>
  <c r="S14" i="1"/>
  <c r="P6" i="1"/>
  <c r="H20" i="1"/>
  <c r="H22" i="2" s="1"/>
  <c r="S6" i="1"/>
  <c r="J20" i="1"/>
  <c r="J22" i="2" s="1"/>
  <c r="I19" i="1"/>
  <c r="I21" i="2" s="1"/>
  <c r="N19" i="1"/>
  <c r="N21" i="2" s="1"/>
  <c r="Q20" i="1"/>
  <c r="Q22" i="2" s="1"/>
  <c r="C44" i="7" l="1"/>
  <c r="D50" i="9"/>
  <c r="E50" i="9" s="1"/>
  <c r="F3" i="9"/>
  <c r="F12" i="9" s="1"/>
  <c r="E12" i="9"/>
  <c r="C43" i="7"/>
  <c r="D49" i="9"/>
  <c r="E49" i="9" s="1"/>
  <c r="C42" i="7"/>
  <c r="D42" i="7" s="1"/>
  <c r="D48" i="9"/>
  <c r="E48" i="9" s="1"/>
  <c r="S25" i="2"/>
  <c r="I25" i="9"/>
  <c r="S22" i="2"/>
  <c r="D37" i="7"/>
  <c r="P23" i="1"/>
  <c r="D43" i="7"/>
  <c r="D44" i="7"/>
  <c r="S28" i="2"/>
  <c r="T28" i="2"/>
  <c r="T20" i="1"/>
  <c r="B3" i="7"/>
  <c r="D3" i="7" s="1"/>
  <c r="D26" i="7"/>
  <c r="B4" i="7"/>
  <c r="D4" i="7" s="1"/>
  <c r="D19" i="7"/>
  <c r="P20" i="1"/>
  <c r="P22" i="2" s="1"/>
  <c r="S20" i="1"/>
  <c r="D6" i="7" l="1"/>
  <c r="E6" i="7" s="1"/>
</calcChain>
</file>

<file path=xl/sharedStrings.xml><?xml version="1.0" encoding="utf-8"?>
<sst xmlns="http://schemas.openxmlformats.org/spreadsheetml/2006/main" count="295" uniqueCount="94">
  <si>
    <t>Fountain Municipal Transit</t>
  </si>
  <si>
    <t>YTD Report - 2022</t>
  </si>
  <si>
    <t>Month</t>
  </si>
  <si>
    <t>Days of service</t>
  </si>
  <si>
    <t>Total Passengers</t>
  </si>
  <si>
    <t>Total Reduced Fare Passengers</t>
  </si>
  <si>
    <t>Reduced Fares</t>
  </si>
  <si>
    <t>Full Fares</t>
  </si>
  <si>
    <t>Purchased Passes</t>
  </si>
  <si>
    <t>Free (Promos, Transfers, Children, etc.)</t>
  </si>
  <si>
    <t>1 Way Deviations</t>
  </si>
  <si>
    <t>2 Way Deviations</t>
  </si>
  <si>
    <t>Fares Collected</t>
  </si>
  <si>
    <t>Fares Expected</t>
  </si>
  <si>
    <t>Average Fare collected</t>
  </si>
  <si>
    <t>Miles Driven</t>
  </si>
  <si>
    <t>Miles per Passenger</t>
  </si>
  <si>
    <t>Passengers per Day</t>
  </si>
  <si>
    <t>Student</t>
  </si>
  <si>
    <t>Seniors</t>
  </si>
  <si>
    <t>ADA</t>
  </si>
  <si>
    <t>January</t>
  </si>
  <si>
    <t>February</t>
  </si>
  <si>
    <t>March</t>
  </si>
  <si>
    <t>April</t>
  </si>
  <si>
    <t>May</t>
  </si>
  <si>
    <t>June</t>
  </si>
  <si>
    <t>July</t>
  </si>
  <si>
    <t>August ($0 Fares)</t>
  </si>
  <si>
    <t>September</t>
  </si>
  <si>
    <t>October</t>
  </si>
  <si>
    <t>November</t>
  </si>
  <si>
    <t>December</t>
  </si>
  <si>
    <t>Totals</t>
  </si>
  <si>
    <t>Averages</t>
  </si>
  <si>
    <t>YTD Report - 2023</t>
  </si>
  <si>
    <t>August ($0 Fares?)</t>
  </si>
  <si>
    <t>YTD Report - 2021</t>
  </si>
  <si>
    <t>August</t>
  </si>
  <si>
    <t>N/C</t>
  </si>
  <si>
    <t>Passenger counts from Transit&gt;FMT Spreadsheets&gt;2021&gt;2021 YTD FMT (December data was missing!)</t>
  </si>
  <si>
    <t>Fares and Mileage from Transit&gt;FMT Spreadsheets&gt;2021&gt;2021 YTD Totals (December data was missing!)(Also, this sheet contains passenger counts as well, but they do not agree.)</t>
  </si>
  <si>
    <t>YTD Report - 2020</t>
  </si>
  <si>
    <t>YTD Report - 2019</t>
  </si>
  <si>
    <t>went through individual spreadsheets for info</t>
  </si>
  <si>
    <t>***Redeemed Single Adult Passes = 31</t>
  </si>
  <si>
    <t>***Non-paid Riders (transfers and under aged children) Bus 1=35  Bus 2= 48 Sat=22  Total =   105</t>
  </si>
  <si>
    <t>From Monthly Report</t>
  </si>
  <si>
    <t>Jan, Feb, Apr do not match</t>
  </si>
  <si>
    <t>Apr, June, Jul, Aug, Nov do not match</t>
  </si>
  <si>
    <t>Year</t>
  </si>
  <si>
    <t>Passengers</t>
  </si>
  <si>
    <t>Year to Year change</t>
  </si>
  <si>
    <t>% change from previous year</t>
  </si>
  <si>
    <t>August Comparison</t>
  </si>
  <si>
    <t>July Comparison</t>
  </si>
  <si>
    <t>June Comparison</t>
  </si>
  <si>
    <t>AVERAGE</t>
  </si>
  <si>
    <t>2022 to 2023 Comparison</t>
  </si>
  <si>
    <t>Projections</t>
  </si>
  <si>
    <t>Average 2019-2021</t>
  </si>
  <si>
    <t>2023 % change</t>
  </si>
  <si>
    <t>2022 program % change</t>
  </si>
  <si>
    <t>Total</t>
  </si>
  <si>
    <t>2 Way Deviationss</t>
  </si>
  <si>
    <t>N/C plus Free (Promos, Transfers, Children, etc.)</t>
  </si>
  <si>
    <t>2022 Average Fare Excluding August</t>
  </si>
  <si>
    <t>Average Fare 2023 YTD</t>
  </si>
  <si>
    <t>Total Fare Replacement</t>
  </si>
  <si>
    <t>Number of Reduced Fares</t>
  </si>
  <si>
    <t>Number of Regular Fares</t>
  </si>
  <si>
    <t>Price per Ride</t>
  </si>
  <si>
    <t>Reduced Fare</t>
  </si>
  <si>
    <t>Regular Fare</t>
  </si>
  <si>
    <t>Price</t>
  </si>
  <si>
    <t>31 Day Unlimited</t>
  </si>
  <si>
    <t>22 Ride Economy</t>
  </si>
  <si>
    <t>22 Ride Regular</t>
  </si>
  <si>
    <t>Pass Fare calculations</t>
  </si>
  <si>
    <t>Average</t>
  </si>
  <si>
    <t>Reduced Fare Passengers</t>
  </si>
  <si>
    <t>Total Passengers % change from previous year</t>
  </si>
  <si>
    <t>Full Fare Passengers</t>
  </si>
  <si>
    <t>Total Paid Passengers</t>
  </si>
  <si>
    <t>Based on Total Passengers</t>
  </si>
  <si>
    <t>Please note that no passengers paid in August 2022, but drivers recorded them as different types. The reporting was inconsistent and not reliable!</t>
  </si>
  <si>
    <t>Passes</t>
  </si>
  <si>
    <t>Reduced</t>
  </si>
  <si>
    <t>Full</t>
  </si>
  <si>
    <t>Averaged Pass Fare</t>
  </si>
  <si>
    <t>Full Fare</t>
  </si>
  <si>
    <t>Anticipated 2023</t>
  </si>
  <si>
    <t>Fares</t>
  </si>
  <si>
    <t>Rides(inferred for unlimited)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</si>
</sst>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&quot;$&quot;#,##0.00"/>
    <numFmt numFmtId="165" formatCode="0.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trike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44" fontId="8" fillId="0" borderId="0" applyFont="0" applyFill="0" applyBorder="0" applyAlignment="0" applyProtection="0"/>
  </cellStyleXfs>
  <cellXfs count="81">
    <xf numFmtId="0" fontId="0" fillId="0" borderId="0" xfId="0"/>
    <xf numFmtId="0" fontId="1" fillId="0" borderId="0" xfId="0" applyFont="1"/>
    <xf numFmtId="164" fontId="0" fillId="0" borderId="0" xfId="0" applyNumberFormat="1"/>
    <xf numFmtId="0" fontId="1" fillId="0" borderId="0" xfId="0" applyFont="1" applyAlignment="1">
      <alignment wrapText="1"/>
    </xf>
    <xf numFmtId="0" fontId="1" fillId="0" borderId="5" xfId="0" applyFont="1" applyBorder="1" applyAlignment="1">
      <alignment wrapText="1"/>
    </xf>
    <xf numFmtId="0" fontId="1" fillId="0" borderId="4" xfId="0" applyFont="1" applyBorder="1"/>
    <xf numFmtId="0" fontId="0" fillId="0" borderId="5" xfId="0" applyBorder="1"/>
    <xf numFmtId="1" fontId="0" fillId="0" borderId="5" xfId="0" applyNumberFormat="1" applyBorder="1"/>
    <xf numFmtId="164" fontId="0" fillId="0" borderId="5" xfId="0" applyNumberFormat="1" applyBorder="1"/>
    <xf numFmtId="0" fontId="0" fillId="0" borderId="6" xfId="0" applyBorder="1"/>
    <xf numFmtId="2" fontId="0" fillId="0" borderId="0" xfId="0" applyNumberFormat="1"/>
    <xf numFmtId="1" fontId="0" fillId="0" borderId="0" xfId="0" applyNumberFormat="1"/>
    <xf numFmtId="0" fontId="1" fillId="2" borderId="4" xfId="0" applyFont="1" applyFill="1" applyBorder="1"/>
    <xf numFmtId="0" fontId="1" fillId="2" borderId="5" xfId="0" applyFont="1" applyFill="1" applyBorder="1"/>
    <xf numFmtId="164" fontId="1" fillId="2" borderId="5" xfId="0" applyNumberFormat="1" applyFont="1" applyFill="1" applyBorder="1"/>
    <xf numFmtId="0" fontId="1" fillId="2" borderId="6" xfId="0" applyFont="1" applyFill="1" applyBorder="1"/>
    <xf numFmtId="0" fontId="1" fillId="3" borderId="7" xfId="0" applyFont="1" applyFill="1" applyBorder="1"/>
    <xf numFmtId="1" fontId="1" fillId="3" borderId="8" xfId="0" applyNumberFormat="1" applyFont="1" applyFill="1" applyBorder="1"/>
    <xf numFmtId="2" fontId="1" fillId="3" borderId="8" xfId="0" applyNumberFormat="1" applyFont="1" applyFill="1" applyBorder="1"/>
    <xf numFmtId="0" fontId="1" fillId="3" borderId="8" xfId="0" applyFont="1" applyFill="1" applyBorder="1"/>
    <xf numFmtId="164" fontId="1" fillId="3" borderId="8" xfId="0" applyNumberFormat="1" applyFont="1" applyFill="1" applyBorder="1"/>
    <xf numFmtId="1" fontId="1" fillId="3" borderId="9" xfId="0" applyNumberFormat="1" applyFont="1" applyFill="1" applyBorder="1"/>
    <xf numFmtId="2" fontId="1" fillId="0" borderId="0" xfId="0" applyNumberFormat="1" applyFont="1"/>
    <xf numFmtId="1" fontId="1" fillId="0" borderId="0" xfId="0" applyNumberFormat="1" applyFont="1"/>
    <xf numFmtId="0" fontId="1" fillId="2" borderId="1" xfId="0" applyFont="1" applyFill="1" applyBorder="1"/>
    <xf numFmtId="0" fontId="1" fillId="2" borderId="2" xfId="0" applyFont="1" applyFill="1" applyBorder="1"/>
    <xf numFmtId="164" fontId="1" fillId="2" borderId="2" xfId="0" applyNumberFormat="1" applyFont="1" applyFill="1" applyBorder="1"/>
    <xf numFmtId="0" fontId="3" fillId="0" borderId="0" xfId="0" applyFont="1"/>
    <xf numFmtId="0" fontId="4" fillId="0" borderId="0" xfId="0" applyFont="1"/>
    <xf numFmtId="1" fontId="5" fillId="0" borderId="5" xfId="0" applyNumberFormat="1" applyFont="1" applyBorder="1"/>
    <xf numFmtId="10" fontId="0" fillId="0" borderId="0" xfId="0" applyNumberFormat="1"/>
    <xf numFmtId="10" fontId="0" fillId="4" borderId="0" xfId="0" applyNumberFormat="1" applyFill="1"/>
    <xf numFmtId="0" fontId="2" fillId="0" borderId="0" xfId="0" applyFont="1"/>
    <xf numFmtId="0" fontId="7" fillId="0" borderId="0" xfId="0" applyFont="1"/>
    <xf numFmtId="0" fontId="0" fillId="5" borderId="0" xfId="0" applyFill="1"/>
    <xf numFmtId="10" fontId="2" fillId="0" borderId="0" xfId="0" applyNumberFormat="1" applyFont="1"/>
    <xf numFmtId="10" fontId="2" fillId="0" borderId="1" xfId="0" applyNumberFormat="1" applyFont="1" applyBorder="1"/>
    <xf numFmtId="10" fontId="2" fillId="0" borderId="3" xfId="0" applyNumberFormat="1" applyFont="1" applyBorder="1"/>
    <xf numFmtId="10" fontId="0" fillId="0" borderId="7" xfId="0" applyNumberFormat="1" applyBorder="1"/>
    <xf numFmtId="10" fontId="0" fillId="0" borderId="9" xfId="0" applyNumberFormat="1" applyBorder="1"/>
    <xf numFmtId="0" fontId="2" fillId="0" borderId="5" xfId="0" applyFont="1" applyBorder="1"/>
    <xf numFmtId="1" fontId="0" fillId="4" borderId="5" xfId="0" applyNumberFormat="1" applyFill="1" applyBorder="1"/>
    <xf numFmtId="0" fontId="0" fillId="4" borderId="5" xfId="0" applyFill="1" applyBorder="1"/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 wrapText="1"/>
    </xf>
    <xf numFmtId="164" fontId="0" fillId="4" borderId="5" xfId="0" applyNumberFormat="1" applyFill="1" applyBorder="1"/>
    <xf numFmtId="164" fontId="1" fillId="4" borderId="5" xfId="0" applyNumberFormat="1" applyFont="1" applyFill="1" applyBorder="1" applyAlignment="1">
      <alignment wrapText="1"/>
    </xf>
    <xf numFmtId="165" fontId="0" fillId="0" borderId="0" xfId="0" applyNumberFormat="1"/>
    <xf numFmtId="0" fontId="0" fillId="0" borderId="0" xfId="0" applyAlignment="1">
      <alignment wrapText="1"/>
    </xf>
    <xf numFmtId="1" fontId="0" fillId="0" borderId="5" xfId="0" applyNumberFormat="1" applyBorder="1" applyAlignment="1">
      <alignment wrapText="1"/>
    </xf>
    <xf numFmtId="0" fontId="0" fillId="0" borderId="5" xfId="0" applyBorder="1" applyAlignment="1">
      <alignment wrapText="1"/>
    </xf>
    <xf numFmtId="0" fontId="0" fillId="5" borderId="0" xfId="0" applyFill="1" applyAlignment="1">
      <alignment wrapText="1"/>
    </xf>
    <xf numFmtId="0" fontId="7" fillId="0" borderId="0" xfId="0" applyFont="1" applyAlignment="1">
      <alignment wrapText="1"/>
    </xf>
    <xf numFmtId="0" fontId="2" fillId="0" borderId="0" xfId="0" applyFont="1" applyAlignment="1">
      <alignment wrapText="1"/>
    </xf>
    <xf numFmtId="1" fontId="0" fillId="0" borderId="0" xfId="0" applyNumberFormat="1" applyAlignment="1">
      <alignment wrapText="1"/>
    </xf>
    <xf numFmtId="10" fontId="2" fillId="0" borderId="0" xfId="0" applyNumberFormat="1" applyFont="1" applyAlignment="1">
      <alignment wrapText="1"/>
    </xf>
    <xf numFmtId="0" fontId="9" fillId="0" borderId="0" xfId="0" applyFont="1"/>
    <xf numFmtId="1" fontId="9" fillId="0" borderId="0" xfId="0" applyNumberFormat="1" applyFont="1"/>
    <xf numFmtId="10" fontId="2" fillId="0" borderId="1" xfId="0" applyNumberFormat="1" applyFont="1" applyBorder="1" applyAlignment="1">
      <alignment wrapText="1"/>
    </xf>
    <xf numFmtId="10" fontId="2" fillId="0" borderId="3" xfId="0" applyNumberFormat="1" applyFont="1" applyBorder="1" applyAlignment="1">
      <alignment wrapText="1"/>
    </xf>
    <xf numFmtId="10" fontId="0" fillId="0" borderId="0" xfId="0" applyNumberFormat="1" applyAlignment="1">
      <alignment wrapText="1"/>
    </xf>
    <xf numFmtId="0" fontId="10" fillId="0" borderId="0" xfId="0" applyFont="1"/>
    <xf numFmtId="44" fontId="10" fillId="0" borderId="0" xfId="2" applyFont="1"/>
    <xf numFmtId="44" fontId="10" fillId="0" borderId="5" xfId="2" applyFont="1" applyBorder="1"/>
    <xf numFmtId="44" fontId="10" fillId="4" borderId="5" xfId="2" applyFont="1" applyFill="1" applyBorder="1"/>
    <xf numFmtId="0" fontId="1" fillId="4" borderId="10" xfId="0" applyFont="1" applyFill="1" applyBorder="1"/>
    <xf numFmtId="44" fontId="0" fillId="4" borderId="11" xfId="2" applyFont="1" applyFill="1" applyBorder="1"/>
    <xf numFmtId="0" fontId="2" fillId="0" borderId="5" xfId="0" applyFont="1" applyBorder="1" applyAlignment="1">
      <alignment horizontal="center" vertical="center" textRotation="45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0" borderId="4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164" fontId="1" fillId="0" borderId="5" xfId="0" applyNumberFormat="1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2" fillId="0" borderId="10" xfId="0" applyFont="1" applyBorder="1" applyAlignment="1">
      <alignment horizontal="center" textRotation="90"/>
    </xf>
    <xf numFmtId="0" fontId="2" fillId="0" borderId="11" xfId="0" applyFont="1" applyBorder="1" applyAlignment="1">
      <alignment horizontal="center" textRotation="90"/>
    </xf>
    <xf numFmtId="0" fontId="1" fillId="4" borderId="5" xfId="0" applyFont="1" applyFill="1" applyBorder="1" applyAlignment="1">
      <alignment horizontal="center" wrapText="1"/>
    </xf>
  </cellXfs>
  <cellStyles count="3">
    <cellStyle name="Currency" xfId="2" builtinId="4"/>
    <cellStyle name="Normal" xfId="0" builtinId="0"/>
    <cellStyle name="Normal 2" xfId="1" xr:uid="{00000000-0005-0000-0000-00002F000000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0.100.1.13/Transit/FMT%20Spreadsheets/Records%202023/Big%20Spreadsheet%20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0.100.1.13/Transit/FMT%20Spreadsheets/Records%202022/Big%20Spreadsheet%20202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10.100.1.13/Transit/FMT%20Spreadsheets/2021/DECEMBER%202021%20FMT/Dec.%202021%20FMT%20Mileage%20Lo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  <sheetName val="Feb"/>
      <sheetName val="March"/>
      <sheetName val="Apr"/>
      <sheetName val="May"/>
      <sheetName val="June"/>
      <sheetName val="July"/>
      <sheetName val="Aug"/>
      <sheetName val="Sept"/>
      <sheetName val="Oct"/>
      <sheetName val="Nov"/>
      <sheetName val="Dec"/>
      <sheetName val="Weekly+Fuel"/>
      <sheetName val="YTD Report"/>
      <sheetName val="Timeshee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6">
          <cell r="D6">
            <v>826</v>
          </cell>
          <cell r="E6">
            <v>414</v>
          </cell>
          <cell r="F6">
            <v>133</v>
          </cell>
          <cell r="G6">
            <v>241</v>
          </cell>
          <cell r="H6">
            <v>40</v>
          </cell>
          <cell r="I6">
            <v>215</v>
          </cell>
          <cell r="J6">
            <v>137</v>
          </cell>
          <cell r="K6">
            <v>52</v>
          </cell>
          <cell r="L6">
            <v>0</v>
          </cell>
          <cell r="M6">
            <v>0</v>
          </cell>
          <cell r="N6">
            <v>717.48000000000036</v>
          </cell>
          <cell r="O6">
            <v>674.40000000000032</v>
          </cell>
          <cell r="Q6">
            <v>12051</v>
          </cell>
        </row>
        <row r="7">
          <cell r="D7">
            <v>874</v>
          </cell>
          <cell r="E7">
            <v>394</v>
          </cell>
          <cell r="F7">
            <v>150</v>
          </cell>
          <cell r="G7">
            <v>202</v>
          </cell>
          <cell r="H7">
            <v>42</v>
          </cell>
          <cell r="I7">
            <v>205</v>
          </cell>
          <cell r="J7">
            <v>179</v>
          </cell>
          <cell r="K7">
            <v>65</v>
          </cell>
          <cell r="M7">
            <v>0</v>
          </cell>
          <cell r="N7">
            <v>728.1</v>
          </cell>
          <cell r="O7">
            <v>642.4000000000002</v>
          </cell>
          <cell r="Q7">
            <v>10474</v>
          </cell>
        </row>
        <row r="8">
          <cell r="D8">
            <v>1151</v>
          </cell>
          <cell r="F8">
            <v>187</v>
          </cell>
          <cell r="G8">
            <v>264</v>
          </cell>
          <cell r="H8">
            <v>49</v>
          </cell>
          <cell r="I8">
            <v>253</v>
          </cell>
          <cell r="J8">
            <v>192</v>
          </cell>
          <cell r="K8">
            <v>63</v>
          </cell>
          <cell r="L8">
            <v>0</v>
          </cell>
          <cell r="M8">
            <v>0</v>
          </cell>
          <cell r="N8">
            <v>1022.6200000000003</v>
          </cell>
          <cell r="O8">
            <v>880.80000000000018</v>
          </cell>
          <cell r="Q8">
            <v>13148</v>
          </cell>
        </row>
        <row r="9">
          <cell r="D9">
            <v>1020</v>
          </cell>
          <cell r="F9">
            <v>190</v>
          </cell>
          <cell r="G9">
            <v>285</v>
          </cell>
          <cell r="H9">
            <v>59</v>
          </cell>
          <cell r="I9">
            <v>280</v>
          </cell>
          <cell r="J9">
            <v>133</v>
          </cell>
          <cell r="K9">
            <v>1</v>
          </cell>
          <cell r="L9">
            <v>0</v>
          </cell>
          <cell r="M9">
            <v>0</v>
          </cell>
          <cell r="N9">
            <v>1034.6100000000004</v>
          </cell>
          <cell r="O9">
            <v>873.90000000000009</v>
          </cell>
          <cell r="Q9">
            <v>11970</v>
          </cell>
        </row>
      </sheetData>
      <sheetData sheetId="1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2"/>
      <sheetName val="Jan"/>
      <sheetName val="Feb"/>
      <sheetName val="March"/>
      <sheetName val="Apr"/>
      <sheetName val="May"/>
      <sheetName val="June"/>
      <sheetName val="July"/>
      <sheetName val="Aug"/>
      <sheetName val="Sept"/>
      <sheetName val="Oct"/>
      <sheetName val="Nov"/>
      <sheetName val="Dec"/>
      <sheetName val="Weekly+Fuel"/>
      <sheetName val="YTD Report"/>
      <sheetName val="Historical"/>
    </sheetNames>
    <sheetDataSet>
      <sheetData sheetId="0"/>
      <sheetData sheetId="1">
        <row r="85">
          <cell r="J85">
            <v>10432</v>
          </cell>
          <cell r="K85">
            <v>92</v>
          </cell>
          <cell r="L85">
            <v>213</v>
          </cell>
          <cell r="M85">
            <v>75</v>
          </cell>
          <cell r="N85">
            <v>238</v>
          </cell>
          <cell r="O85">
            <v>97</v>
          </cell>
          <cell r="P85">
            <v>15</v>
          </cell>
          <cell r="S85">
            <v>34</v>
          </cell>
          <cell r="T85">
            <v>0</v>
          </cell>
          <cell r="U85">
            <v>8</v>
          </cell>
          <cell r="V85">
            <v>15</v>
          </cell>
          <cell r="W85">
            <v>12</v>
          </cell>
          <cell r="X85">
            <v>3</v>
          </cell>
          <cell r="Y85">
            <v>0</v>
          </cell>
          <cell r="AC85">
            <v>735.01999999999964</v>
          </cell>
          <cell r="AD85">
            <v>710.74999999999989</v>
          </cell>
          <cell r="AF85">
            <v>799</v>
          </cell>
        </row>
      </sheetData>
      <sheetData sheetId="2">
        <row r="81">
          <cell r="J81">
            <v>10083</v>
          </cell>
          <cell r="K81">
            <v>76</v>
          </cell>
          <cell r="L81">
            <v>165</v>
          </cell>
          <cell r="M81">
            <v>55</v>
          </cell>
          <cell r="N81">
            <v>171</v>
          </cell>
          <cell r="O81">
            <v>103</v>
          </cell>
          <cell r="P81">
            <v>40</v>
          </cell>
          <cell r="Q81">
            <v>1</v>
          </cell>
          <cell r="R81">
            <v>0</v>
          </cell>
          <cell r="S81">
            <v>33</v>
          </cell>
          <cell r="T81">
            <v>0</v>
          </cell>
          <cell r="U81">
            <v>2</v>
          </cell>
          <cell r="V81">
            <v>19</v>
          </cell>
          <cell r="W81">
            <v>16</v>
          </cell>
          <cell r="X81">
            <v>9</v>
          </cell>
          <cell r="Y81">
            <v>0</v>
          </cell>
          <cell r="AC81">
            <v>548.94000000000017</v>
          </cell>
          <cell r="AD81">
            <v>524.10000000000014</v>
          </cell>
          <cell r="AF81">
            <v>681</v>
          </cell>
        </row>
      </sheetData>
      <sheetData sheetId="3">
        <row r="102">
          <cell r="J102">
            <v>12092</v>
          </cell>
          <cell r="K102">
            <v>89</v>
          </cell>
          <cell r="L102">
            <v>230</v>
          </cell>
          <cell r="M102">
            <v>79</v>
          </cell>
          <cell r="N102">
            <v>312</v>
          </cell>
        </row>
        <row r="103">
          <cell r="O103">
            <v>145</v>
          </cell>
          <cell r="P103">
            <v>41</v>
          </cell>
          <cell r="Q103">
            <v>0</v>
          </cell>
          <cell r="R103">
            <v>0</v>
          </cell>
          <cell r="S103">
            <v>31</v>
          </cell>
          <cell r="T103">
            <v>1</v>
          </cell>
          <cell r="U103">
            <v>11</v>
          </cell>
          <cell r="V103">
            <v>13</v>
          </cell>
          <cell r="W103">
            <v>18</v>
          </cell>
          <cell r="X103">
            <v>0</v>
          </cell>
          <cell r="Y103">
            <v>0</v>
          </cell>
          <cell r="AC103">
            <v>828.2800000000002</v>
          </cell>
          <cell r="AD103">
            <v>806.30000000000041</v>
          </cell>
          <cell r="AF103">
            <v>970</v>
          </cell>
        </row>
      </sheetData>
      <sheetData sheetId="4">
        <row r="90">
          <cell r="K90">
            <v>102</v>
          </cell>
          <cell r="L90">
            <v>257</v>
          </cell>
          <cell r="M90">
            <v>70</v>
          </cell>
          <cell r="N90">
            <v>344</v>
          </cell>
        </row>
        <row r="91">
          <cell r="J91">
            <v>11078</v>
          </cell>
          <cell r="O91">
            <v>181</v>
          </cell>
          <cell r="P91">
            <v>30</v>
          </cell>
          <cell r="Q91">
            <v>0</v>
          </cell>
          <cell r="R91">
            <v>0</v>
          </cell>
          <cell r="S91">
            <v>16</v>
          </cell>
          <cell r="T91">
            <v>34</v>
          </cell>
          <cell r="U91">
            <v>0</v>
          </cell>
          <cell r="V91">
            <v>0</v>
          </cell>
          <cell r="W91">
            <v>23</v>
          </cell>
          <cell r="X91">
            <v>0</v>
          </cell>
          <cell r="Y91">
            <v>0</v>
          </cell>
          <cell r="AC91">
            <v>806.24</v>
          </cell>
          <cell r="AD91">
            <v>880.64999999999986</v>
          </cell>
          <cell r="AF91">
            <v>1057</v>
          </cell>
        </row>
      </sheetData>
      <sheetData sheetId="5">
        <row r="71">
          <cell r="J71">
            <v>9058</v>
          </cell>
          <cell r="K71">
            <v>91</v>
          </cell>
          <cell r="L71">
            <v>228</v>
          </cell>
          <cell r="M71">
            <v>62</v>
          </cell>
          <cell r="N71">
            <v>331</v>
          </cell>
          <cell r="O71">
            <v>90</v>
          </cell>
          <cell r="P71">
            <v>21</v>
          </cell>
          <cell r="Q71">
            <v>0</v>
          </cell>
          <cell r="R71">
            <v>0</v>
          </cell>
          <cell r="S71">
            <v>19</v>
          </cell>
          <cell r="T71">
            <v>25</v>
          </cell>
          <cell r="U71">
            <v>11</v>
          </cell>
          <cell r="V71">
            <v>3</v>
          </cell>
          <cell r="W71">
            <v>42</v>
          </cell>
          <cell r="X71">
            <v>0</v>
          </cell>
          <cell r="Y71">
            <v>0</v>
          </cell>
          <cell r="AC71">
            <v>880.75999999999988</v>
          </cell>
          <cell r="AD71">
            <v>821</v>
          </cell>
          <cell r="AF71">
            <v>923</v>
          </cell>
        </row>
      </sheetData>
      <sheetData sheetId="6">
        <row r="86">
          <cell r="J86">
            <v>10356</v>
          </cell>
          <cell r="K86">
            <v>76</v>
          </cell>
          <cell r="L86">
            <v>248</v>
          </cell>
          <cell r="M86">
            <v>66</v>
          </cell>
          <cell r="N86">
            <v>270</v>
          </cell>
          <cell r="O86">
            <v>84</v>
          </cell>
          <cell r="P86">
            <v>31</v>
          </cell>
          <cell r="Q86">
            <v>0</v>
          </cell>
          <cell r="R86">
            <v>24</v>
          </cell>
          <cell r="S86">
            <v>30</v>
          </cell>
          <cell r="T86">
            <v>21</v>
          </cell>
          <cell r="U86">
            <v>15</v>
          </cell>
          <cell r="V86">
            <v>0</v>
          </cell>
          <cell r="W86">
            <v>25</v>
          </cell>
          <cell r="X86">
            <v>0</v>
          </cell>
          <cell r="Y86">
            <v>0</v>
          </cell>
          <cell r="AC86">
            <v>833.25</v>
          </cell>
          <cell r="AD86">
            <v>736.49999999999977</v>
          </cell>
          <cell r="AF86">
            <v>890</v>
          </cell>
        </row>
      </sheetData>
      <sheetData sheetId="7">
        <row r="91">
          <cell r="J91">
            <v>11776</v>
          </cell>
          <cell r="K91">
            <v>104</v>
          </cell>
          <cell r="L91">
            <v>285</v>
          </cell>
          <cell r="M91">
            <v>76</v>
          </cell>
          <cell r="N91">
            <v>316</v>
          </cell>
          <cell r="O91">
            <v>66</v>
          </cell>
          <cell r="P91">
            <v>35</v>
          </cell>
          <cell r="Q91">
            <v>0</v>
          </cell>
          <cell r="R91">
            <v>37</v>
          </cell>
          <cell r="S91">
            <v>21</v>
          </cell>
          <cell r="T91">
            <v>25</v>
          </cell>
          <cell r="U91">
            <v>10</v>
          </cell>
          <cell r="V91">
            <v>14</v>
          </cell>
          <cell r="W91">
            <v>57</v>
          </cell>
          <cell r="AC91">
            <v>915.69000000000017</v>
          </cell>
          <cell r="AD91">
            <v>869.24999999999989</v>
          </cell>
          <cell r="AF91">
            <v>1046</v>
          </cell>
        </row>
      </sheetData>
      <sheetData sheetId="8">
        <row r="93">
          <cell r="J93">
            <v>11729</v>
          </cell>
          <cell r="K93">
            <v>43</v>
          </cell>
          <cell r="L93">
            <v>155</v>
          </cell>
          <cell r="M93">
            <v>105</v>
          </cell>
          <cell r="N93">
            <v>299</v>
          </cell>
          <cell r="O93">
            <v>2</v>
          </cell>
          <cell r="P93">
            <v>0</v>
          </cell>
          <cell r="U93">
            <v>1</v>
          </cell>
          <cell r="V93">
            <v>46</v>
          </cell>
          <cell r="W93">
            <v>0</v>
          </cell>
          <cell r="X93">
            <v>6</v>
          </cell>
          <cell r="AC93">
            <v>0</v>
          </cell>
          <cell r="AD93">
            <v>706.04999999999984</v>
          </cell>
          <cell r="AF93">
            <v>1400</v>
          </cell>
        </row>
      </sheetData>
      <sheetData sheetId="9">
        <row r="71">
          <cell r="J71">
            <v>9446</v>
          </cell>
          <cell r="K71">
            <v>180</v>
          </cell>
          <cell r="L71">
            <v>280</v>
          </cell>
          <cell r="M71">
            <v>62</v>
          </cell>
          <cell r="N71">
            <v>279</v>
          </cell>
          <cell r="O71">
            <v>191</v>
          </cell>
          <cell r="P71">
            <v>37</v>
          </cell>
          <cell r="U71">
            <v>23</v>
          </cell>
          <cell r="V71">
            <v>12</v>
          </cell>
          <cell r="W71">
            <v>83</v>
          </cell>
          <cell r="X71">
            <v>10</v>
          </cell>
          <cell r="Y71">
            <v>0</v>
          </cell>
          <cell r="AC71">
            <v>855.0799999999997</v>
          </cell>
          <cell r="AD71">
            <v>862.20000000000016</v>
          </cell>
          <cell r="AF71">
            <v>1181</v>
          </cell>
        </row>
      </sheetData>
      <sheetData sheetId="10">
        <row r="87">
          <cell r="J87">
            <v>11671</v>
          </cell>
          <cell r="K87">
            <v>146</v>
          </cell>
          <cell r="L87">
            <v>294</v>
          </cell>
          <cell r="M87">
            <v>80</v>
          </cell>
          <cell r="N87">
            <v>400</v>
          </cell>
          <cell r="O87">
            <v>190</v>
          </cell>
          <cell r="P87">
            <v>36</v>
          </cell>
          <cell r="Q87">
            <v>0</v>
          </cell>
          <cell r="R87">
            <v>0</v>
          </cell>
          <cell r="S87">
            <v>11</v>
          </cell>
          <cell r="T87">
            <v>9</v>
          </cell>
          <cell r="U87">
            <v>26</v>
          </cell>
          <cell r="V87">
            <v>6</v>
          </cell>
          <cell r="W87">
            <v>29</v>
          </cell>
          <cell r="X87">
            <v>0</v>
          </cell>
          <cell r="Y87">
            <v>0</v>
          </cell>
          <cell r="AC87">
            <v>1050.58</v>
          </cell>
          <cell r="AD87">
            <v>1042</v>
          </cell>
          <cell r="AF87">
            <v>1212</v>
          </cell>
        </row>
      </sheetData>
      <sheetData sheetId="11">
        <row r="91">
          <cell r="J91">
            <v>11910</v>
          </cell>
          <cell r="K91">
            <v>125</v>
          </cell>
          <cell r="L91">
            <v>258</v>
          </cell>
          <cell r="M91">
            <v>56</v>
          </cell>
          <cell r="N91">
            <v>331</v>
          </cell>
          <cell r="O91">
            <v>182</v>
          </cell>
          <cell r="P91">
            <v>11</v>
          </cell>
          <cell r="Q91">
            <v>0</v>
          </cell>
          <cell r="R91">
            <v>0</v>
          </cell>
          <cell r="S91">
            <v>34</v>
          </cell>
          <cell r="T91">
            <v>7</v>
          </cell>
          <cell r="U91">
            <v>21</v>
          </cell>
          <cell r="V91">
            <v>28</v>
          </cell>
          <cell r="W91">
            <v>50</v>
          </cell>
          <cell r="X91">
            <v>0</v>
          </cell>
          <cell r="AC91">
            <v>853.47000000000025</v>
          </cell>
          <cell r="AD91">
            <v>869.65000000000043</v>
          </cell>
          <cell r="AF91">
            <v>1062</v>
          </cell>
        </row>
      </sheetData>
      <sheetData sheetId="12">
        <row r="90">
          <cell r="J90">
            <v>11471</v>
          </cell>
          <cell r="K90">
            <v>113</v>
          </cell>
          <cell r="L90">
            <v>225</v>
          </cell>
          <cell r="M90">
            <v>58</v>
          </cell>
          <cell r="N90">
            <v>271</v>
          </cell>
          <cell r="O90">
            <v>159</v>
          </cell>
          <cell r="P90">
            <v>1</v>
          </cell>
          <cell r="Q90">
            <v>0</v>
          </cell>
          <cell r="R90">
            <v>0</v>
          </cell>
          <cell r="S90">
            <v>8</v>
          </cell>
          <cell r="T90">
            <v>1</v>
          </cell>
          <cell r="U90">
            <v>12</v>
          </cell>
          <cell r="V90">
            <v>0</v>
          </cell>
          <cell r="W90">
            <v>42</v>
          </cell>
          <cell r="X90">
            <v>0</v>
          </cell>
          <cell r="Y90">
            <v>0</v>
          </cell>
          <cell r="AC90">
            <v>734.03</v>
          </cell>
          <cell r="AD90">
            <v>743.10000000000025</v>
          </cell>
          <cell r="AF90">
            <v>881</v>
          </cell>
        </row>
      </sheetData>
      <sheetData sheetId="13"/>
      <sheetData sheetId="14"/>
      <sheetData sheetId="1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ute 1"/>
      <sheetName val="Route 2"/>
      <sheetName val="Saturday Route"/>
      <sheetName val="Weekly Report"/>
    </sheetNames>
    <sheetDataSet>
      <sheetData sheetId="0">
        <row r="34">
          <cell r="F34">
            <v>5168</v>
          </cell>
        </row>
      </sheetData>
      <sheetData sheetId="1">
        <row r="34">
          <cell r="F34">
            <v>4404</v>
          </cell>
        </row>
      </sheetData>
      <sheetData sheetId="2">
        <row r="34">
          <cell r="F34">
            <v>415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08FDE1-B3C4-4BB5-8A55-E93F67404178}">
  <sheetPr>
    <tabColor rgb="FFFFFF00"/>
    <pageSetUpPr fitToPage="1"/>
  </sheetPr>
  <dimension ref="A1:N59"/>
  <sheetViews>
    <sheetView tabSelected="1" topLeftCell="A23" workbookViewId="0">
      <selection activeCell="I2" sqref="I2"/>
    </sheetView>
  </sheetViews>
  <sheetFormatPr baseColWidth="10" defaultColWidth="8.83203125" defaultRowHeight="15" x14ac:dyDescent="0.2"/>
  <cols>
    <col min="2" max="2" width="14.33203125" bestFit="1" customWidth="1"/>
    <col min="3" max="3" width="16.5" style="48" bestFit="1" customWidth="1"/>
    <col min="4" max="4" width="17.5" bestFit="1" customWidth="1"/>
    <col min="5" max="5" width="12.83203125" customWidth="1"/>
    <col min="6" max="6" width="14.1640625" customWidth="1"/>
    <col min="7" max="8" width="13.83203125" customWidth="1"/>
    <col min="9" max="9" width="30.1640625" bestFit="1" customWidth="1"/>
    <col min="13" max="13" width="11.1640625" style="30" bestFit="1" customWidth="1"/>
    <col min="14" max="14" width="9.1640625" style="30"/>
  </cols>
  <sheetData>
    <row r="1" spans="1:14" s="48" customFormat="1" ht="20" x14ac:dyDescent="0.25">
      <c r="B1" s="52" t="s">
        <v>59</v>
      </c>
      <c r="H1" s="58" t="s">
        <v>61</v>
      </c>
      <c r="I1" s="59" t="s">
        <v>62</v>
      </c>
      <c r="M1" s="60"/>
      <c r="N1" s="60"/>
    </row>
    <row r="2" spans="1:14" ht="35" thickBot="1" x14ac:dyDescent="0.25">
      <c r="B2" s="40"/>
      <c r="C2" s="44">
        <v>2022</v>
      </c>
      <c r="D2" s="44" t="s">
        <v>60</v>
      </c>
      <c r="E2" s="44" t="s">
        <v>91</v>
      </c>
      <c r="F2" s="44" t="s">
        <v>92</v>
      </c>
      <c r="H2" s="38">
        <v>0.1172</v>
      </c>
      <c r="I2" s="39">
        <v>0.51190000000000002</v>
      </c>
    </row>
    <row r="3" spans="1:14" s="32" customFormat="1" ht="16" x14ac:dyDescent="0.2">
      <c r="A3" s="67" t="s">
        <v>26</v>
      </c>
      <c r="B3" s="40" t="s">
        <v>86</v>
      </c>
      <c r="C3" s="49">
        <f>E32</f>
        <v>115</v>
      </c>
      <c r="D3" s="6"/>
      <c r="E3" s="7">
        <f>C3+(C3*(H2+I2))</f>
        <v>187.34649999999999</v>
      </c>
      <c r="F3" s="63">
        <f>E3*H4</f>
        <v>202.33422000000002</v>
      </c>
    </row>
    <row r="4" spans="1:14" s="32" customFormat="1" ht="16" x14ac:dyDescent="0.2">
      <c r="A4" s="67"/>
      <c r="B4" s="40" t="s">
        <v>87</v>
      </c>
      <c r="C4" s="49">
        <f>F32</f>
        <v>390</v>
      </c>
      <c r="D4" s="6"/>
      <c r="E4" s="7">
        <f>C4+(C4*(H2+I2))</f>
        <v>635.34899999999993</v>
      </c>
      <c r="F4" s="63">
        <f>E4*H5</f>
        <v>540.04664999999989</v>
      </c>
      <c r="H4" s="62">
        <v>1.08</v>
      </c>
      <c r="I4" s="61" t="s">
        <v>89</v>
      </c>
    </row>
    <row r="5" spans="1:14" s="32" customFormat="1" ht="16" x14ac:dyDescent="0.2">
      <c r="A5" s="67"/>
      <c r="B5" s="40" t="s">
        <v>88</v>
      </c>
      <c r="C5" s="49">
        <f>G32</f>
        <v>270</v>
      </c>
      <c r="D5" s="6"/>
      <c r="E5" s="7">
        <f>C5+(C5*(H2+I2))</f>
        <v>439.85699999999997</v>
      </c>
      <c r="F5" s="63">
        <f>E5*H6</f>
        <v>659.78549999999996</v>
      </c>
      <c r="H5" s="62">
        <v>0.85</v>
      </c>
      <c r="I5" s="61" t="s">
        <v>72</v>
      </c>
    </row>
    <row r="6" spans="1:14" s="32" customFormat="1" ht="16" x14ac:dyDescent="0.2">
      <c r="A6" s="67" t="s">
        <v>27</v>
      </c>
      <c r="B6" s="40" t="s">
        <v>86</v>
      </c>
      <c r="C6" s="49">
        <f>E25</f>
        <v>101</v>
      </c>
      <c r="D6" s="6"/>
      <c r="E6" s="7">
        <f>C6+(C6*(H2+I2))</f>
        <v>164.53909999999999</v>
      </c>
      <c r="F6" s="63">
        <f>E6*H4</f>
        <v>177.70222799999999</v>
      </c>
      <c r="H6" s="62">
        <v>1.5</v>
      </c>
      <c r="I6" s="61" t="s">
        <v>90</v>
      </c>
    </row>
    <row r="7" spans="1:14" ht="16" x14ac:dyDescent="0.2">
      <c r="A7" s="67"/>
      <c r="B7" s="40" t="s">
        <v>87</v>
      </c>
      <c r="C7" s="49">
        <f>F25</f>
        <v>465</v>
      </c>
      <c r="D7" s="6"/>
      <c r="E7" s="7">
        <f>C7+(C7*(H2+I2))</f>
        <v>757.53150000000005</v>
      </c>
      <c r="F7" s="63">
        <f>E7*H5</f>
        <v>643.90177500000004</v>
      </c>
    </row>
    <row r="8" spans="1:14" ht="16" x14ac:dyDescent="0.2">
      <c r="A8" s="67"/>
      <c r="B8" s="40" t="s">
        <v>88</v>
      </c>
      <c r="C8" s="49">
        <f>G25</f>
        <v>316</v>
      </c>
      <c r="D8" s="6"/>
      <c r="E8" s="7">
        <f>C8+(C8*(H2+I2))</f>
        <v>514.79560000000004</v>
      </c>
      <c r="F8" s="63">
        <f>E8*H6</f>
        <v>772.19340000000011</v>
      </c>
    </row>
    <row r="9" spans="1:14" ht="16" x14ac:dyDescent="0.2">
      <c r="A9" s="67" t="s">
        <v>38</v>
      </c>
      <c r="B9" s="40" t="s">
        <v>86</v>
      </c>
      <c r="C9" s="49"/>
      <c r="D9" s="7">
        <f>AVERAGE(E19:E21)</f>
        <v>141.66666666666666</v>
      </c>
      <c r="E9" s="7">
        <f>D9+(D9*(H2+I2))</f>
        <v>230.78916666666663</v>
      </c>
      <c r="F9" s="63">
        <f>E9*H4</f>
        <v>249.25229999999999</v>
      </c>
    </row>
    <row r="10" spans="1:14" ht="16" x14ac:dyDescent="0.2">
      <c r="A10" s="67"/>
      <c r="B10" s="40" t="s">
        <v>87</v>
      </c>
      <c r="C10" s="49"/>
      <c r="D10" s="7">
        <f>AVERAGE(F19:F21)</f>
        <v>510.66666666666669</v>
      </c>
      <c r="E10" s="7">
        <f>D10+(D10*(H2+I2))</f>
        <v>831.92706666666663</v>
      </c>
      <c r="F10" s="63">
        <f>E10*H5</f>
        <v>707.13800666666657</v>
      </c>
    </row>
    <row r="11" spans="1:14" ht="16" x14ac:dyDescent="0.2">
      <c r="A11" s="67"/>
      <c r="B11" s="40" t="s">
        <v>88</v>
      </c>
      <c r="C11" s="50"/>
      <c r="D11" s="7">
        <f>AVERAGE(G19:G21)</f>
        <v>390</v>
      </c>
      <c r="E11" s="7">
        <f>D11+(D11*(H2+I2))</f>
        <v>635.34899999999993</v>
      </c>
      <c r="F11" s="63">
        <f>E11*H6</f>
        <v>953.0234999999999</v>
      </c>
    </row>
    <row r="12" spans="1:14" ht="16" x14ac:dyDescent="0.2">
      <c r="D12" s="42" t="s">
        <v>63</v>
      </c>
      <c r="E12" s="41">
        <f>SUM(E3:E11)</f>
        <v>4397.483933333333</v>
      </c>
      <c r="F12" s="64">
        <f>SUM(F3:F11)</f>
        <v>4905.3775796666669</v>
      </c>
      <c r="G12" t="s">
        <v>68</v>
      </c>
    </row>
    <row r="15" spans="1:14" x14ac:dyDescent="0.2">
      <c r="B15" s="34"/>
      <c r="C15" s="51"/>
      <c r="D15" s="34"/>
      <c r="E15" s="34"/>
      <c r="F15" s="34"/>
      <c r="G15" s="34"/>
      <c r="H15" s="34"/>
      <c r="I15" s="34"/>
    </row>
    <row r="16" spans="1:14" ht="38" customHeight="1" x14ac:dyDescent="0.25">
      <c r="C16" s="52" t="s">
        <v>54</v>
      </c>
      <c r="D16" s="27"/>
    </row>
    <row r="17" spans="2:14" s="53" customFormat="1" ht="32" customHeight="1" x14ac:dyDescent="0.2">
      <c r="C17" s="53" t="s">
        <v>50</v>
      </c>
      <c r="D17" s="53" t="s">
        <v>4</v>
      </c>
      <c r="E17" s="53" t="s">
        <v>8</v>
      </c>
      <c r="F17" s="53" t="s">
        <v>80</v>
      </c>
      <c r="G17" s="53" t="s">
        <v>82</v>
      </c>
      <c r="H17" s="53" t="s">
        <v>83</v>
      </c>
      <c r="I17" s="53" t="s">
        <v>81</v>
      </c>
      <c r="M17" s="55"/>
      <c r="N17" s="55"/>
    </row>
    <row r="18" spans="2:14" x14ac:dyDescent="0.2">
      <c r="B18" s="27"/>
      <c r="C18" s="48">
        <v>2022</v>
      </c>
      <c r="D18" s="11">
        <f>'2022'!D13</f>
        <v>1400</v>
      </c>
      <c r="E18" s="56">
        <f>'2022'!J13</f>
        <v>2</v>
      </c>
      <c r="F18" s="56">
        <f>'2022'!E13</f>
        <v>303</v>
      </c>
      <c r="G18" s="56">
        <f>'2022'!I13</f>
        <v>299</v>
      </c>
      <c r="H18" s="57">
        <f>SUM(E18:G18)</f>
        <v>604</v>
      </c>
      <c r="I18" s="31">
        <f>(D18-D19)/D19</f>
        <v>0.51187904967602593</v>
      </c>
      <c r="J18" s="27" t="s">
        <v>85</v>
      </c>
    </row>
    <row r="19" spans="2:14" x14ac:dyDescent="0.2">
      <c r="C19" s="48">
        <v>2021</v>
      </c>
      <c r="D19" s="11">
        <f>'2021'!D13</f>
        <v>926</v>
      </c>
      <c r="E19">
        <f>'2021'!J13</f>
        <v>90</v>
      </c>
      <c r="F19">
        <f>'2021'!E13</f>
        <v>381</v>
      </c>
      <c r="G19">
        <f>'2021'!I13</f>
        <v>415</v>
      </c>
      <c r="H19" s="11">
        <f t="shared" ref="H19:H21" si="0">SUM(E19:G19)</f>
        <v>886</v>
      </c>
      <c r="I19" s="30">
        <f>(D19-D20)/D20</f>
        <v>7.3001158748551565E-2</v>
      </c>
    </row>
    <row r="20" spans="2:14" x14ac:dyDescent="0.2">
      <c r="C20" s="48">
        <v>2020</v>
      </c>
      <c r="D20" s="11">
        <f>'2020'!D13</f>
        <v>863</v>
      </c>
      <c r="E20">
        <f>'2020'!J13</f>
        <v>42</v>
      </c>
      <c r="F20">
        <f>'2020'!E13</f>
        <v>372</v>
      </c>
      <c r="G20">
        <f>'2020'!I13</f>
        <v>362</v>
      </c>
      <c r="H20" s="11">
        <f t="shared" si="0"/>
        <v>776</v>
      </c>
      <c r="I20" s="30">
        <f>(D20-D21)/D21</f>
        <v>-0.46563467492260063</v>
      </c>
    </row>
    <row r="21" spans="2:14" x14ac:dyDescent="0.2">
      <c r="C21" s="48">
        <v>2019</v>
      </c>
      <c r="D21" s="11">
        <f>'2019'!D13</f>
        <v>1615</v>
      </c>
      <c r="E21">
        <f>'2019'!J13</f>
        <v>293</v>
      </c>
      <c r="F21">
        <f>'2019'!E13</f>
        <v>779</v>
      </c>
      <c r="G21">
        <f>'2019'!I13</f>
        <v>393</v>
      </c>
      <c r="H21" s="11">
        <f t="shared" si="0"/>
        <v>1465</v>
      </c>
    </row>
    <row r="22" spans="2:14" x14ac:dyDescent="0.2">
      <c r="B22" s="34"/>
      <c r="C22" s="51"/>
      <c r="D22" s="34"/>
      <c r="E22" s="34"/>
      <c r="F22" s="34"/>
      <c r="G22" s="34"/>
      <c r="H22" s="34"/>
      <c r="I22" s="34"/>
    </row>
    <row r="23" spans="2:14" ht="38" customHeight="1" x14ac:dyDescent="0.25">
      <c r="C23" s="52" t="s">
        <v>55</v>
      </c>
    </row>
    <row r="24" spans="2:14" s="53" customFormat="1" ht="32" customHeight="1" x14ac:dyDescent="0.2">
      <c r="C24" s="53" t="s">
        <v>50</v>
      </c>
      <c r="D24" s="53" t="s">
        <v>4</v>
      </c>
      <c r="E24" s="53" t="s">
        <v>8</v>
      </c>
      <c r="F24" s="53" t="s">
        <v>80</v>
      </c>
      <c r="G24" s="53" t="s">
        <v>82</v>
      </c>
      <c r="H24" s="53" t="s">
        <v>83</v>
      </c>
      <c r="I24" s="53" t="s">
        <v>81</v>
      </c>
      <c r="M24" s="55"/>
      <c r="N24" s="55"/>
    </row>
    <row r="25" spans="2:14" x14ac:dyDescent="0.2">
      <c r="C25" s="48">
        <v>2022</v>
      </c>
      <c r="D25" s="11">
        <f>'2022'!D12</f>
        <v>1046</v>
      </c>
      <c r="E25">
        <f>'2022'!J12</f>
        <v>101</v>
      </c>
      <c r="F25">
        <f>'2022'!E12</f>
        <v>465</v>
      </c>
      <c r="G25">
        <f>'2022'!I12</f>
        <v>316</v>
      </c>
      <c r="H25">
        <f>SUM(E25:G25)</f>
        <v>882</v>
      </c>
      <c r="I25" s="30">
        <f>(D25-D26)/D26</f>
        <v>0.24080664294187426</v>
      </c>
    </row>
    <row r="26" spans="2:14" x14ac:dyDescent="0.2">
      <c r="C26" s="48">
        <v>2021</v>
      </c>
      <c r="D26" s="11">
        <f>'2021'!D12</f>
        <v>843</v>
      </c>
      <c r="E26">
        <f>'2021'!J12</f>
        <v>73</v>
      </c>
      <c r="F26">
        <f>'2021'!E12</f>
        <v>321</v>
      </c>
      <c r="G26">
        <f>'2021'!I12</f>
        <v>393</v>
      </c>
      <c r="H26">
        <f t="shared" ref="H26:H28" si="1">SUM(E26:G26)</f>
        <v>787</v>
      </c>
      <c r="I26" s="30">
        <f t="shared" ref="I26:I27" si="2">(D26-D27)/D27</f>
        <v>5.6390977443609019E-2</v>
      </c>
    </row>
    <row r="27" spans="2:14" x14ac:dyDescent="0.2">
      <c r="C27" s="48">
        <v>2020</v>
      </c>
      <c r="D27" s="11">
        <f>'2020'!D12</f>
        <v>798</v>
      </c>
      <c r="E27">
        <f>'2020'!J12</f>
        <v>55</v>
      </c>
      <c r="F27">
        <f>'2020'!E12</f>
        <v>386</v>
      </c>
      <c r="G27">
        <f>'2020'!I12</f>
        <v>312</v>
      </c>
      <c r="H27">
        <f t="shared" si="1"/>
        <v>753</v>
      </c>
      <c r="I27" s="30">
        <f t="shared" si="2"/>
        <v>-0.51252290775809406</v>
      </c>
    </row>
    <row r="28" spans="2:14" x14ac:dyDescent="0.2">
      <c r="C28" s="48">
        <v>2019</v>
      </c>
      <c r="D28" s="11">
        <f>'2019'!D12</f>
        <v>1637</v>
      </c>
      <c r="E28">
        <f>'2019'!J12</f>
        <v>222</v>
      </c>
      <c r="F28">
        <f>'2019'!E12</f>
        <v>795</v>
      </c>
      <c r="G28">
        <f>'2019'!I12</f>
        <v>458</v>
      </c>
      <c r="H28">
        <f t="shared" si="1"/>
        <v>1475</v>
      </c>
    </row>
    <row r="29" spans="2:14" x14ac:dyDescent="0.2">
      <c r="B29" s="34"/>
      <c r="C29" s="51"/>
      <c r="D29" s="34"/>
      <c r="E29" s="34"/>
      <c r="F29" s="34"/>
      <c r="G29" s="34"/>
      <c r="H29" s="34"/>
      <c r="I29" s="34"/>
    </row>
    <row r="30" spans="2:14" ht="38" customHeight="1" x14ac:dyDescent="0.25">
      <c r="C30" s="52" t="s">
        <v>56</v>
      </c>
    </row>
    <row r="31" spans="2:14" s="53" customFormat="1" ht="32" customHeight="1" x14ac:dyDescent="0.2">
      <c r="C31" s="53" t="s">
        <v>50</v>
      </c>
      <c r="D31" s="53" t="s">
        <v>4</v>
      </c>
      <c r="E31" s="53" t="s">
        <v>8</v>
      </c>
      <c r="F31" s="53" t="s">
        <v>80</v>
      </c>
      <c r="G31" s="53" t="s">
        <v>82</v>
      </c>
      <c r="H31" s="53" t="s">
        <v>83</v>
      </c>
      <c r="I31" s="53" t="s">
        <v>81</v>
      </c>
      <c r="M31" s="55"/>
      <c r="N31" s="55"/>
    </row>
    <row r="32" spans="2:14" x14ac:dyDescent="0.2">
      <c r="C32" s="48">
        <v>2022</v>
      </c>
      <c r="D32" s="11">
        <f>'2022'!D11</f>
        <v>890</v>
      </c>
      <c r="E32">
        <f>'2022'!J11</f>
        <v>115</v>
      </c>
      <c r="F32">
        <f>'2022'!E11</f>
        <v>390</v>
      </c>
      <c r="G32">
        <f>'2022'!I11</f>
        <v>270</v>
      </c>
      <c r="H32">
        <f>SUM(E32:G32)</f>
        <v>775</v>
      </c>
      <c r="I32" s="30">
        <f>(D32-D33)/D33</f>
        <v>4.3376318874560373E-2</v>
      </c>
    </row>
    <row r="33" spans="2:9" x14ac:dyDescent="0.2">
      <c r="C33" s="48">
        <v>2021</v>
      </c>
      <c r="D33" s="11">
        <f>'2021'!D11</f>
        <v>853</v>
      </c>
      <c r="E33">
        <f>'2021'!J11</f>
        <v>78</v>
      </c>
      <c r="F33">
        <f>'2021'!E11</f>
        <v>310</v>
      </c>
      <c r="G33">
        <f>'2021'!I11</f>
        <v>338</v>
      </c>
      <c r="H33">
        <f t="shared" ref="H33:H35" si="3">SUM(E33:G33)</f>
        <v>726</v>
      </c>
      <c r="I33" s="30">
        <f t="shared" ref="I33:I34" si="4">(D33-D34)/D34</f>
        <v>-9.830866807610994E-2</v>
      </c>
    </row>
    <row r="34" spans="2:9" x14ac:dyDescent="0.2">
      <c r="C34" s="48">
        <v>2020</v>
      </c>
      <c r="D34" s="11">
        <f>'2020'!D11</f>
        <v>946</v>
      </c>
      <c r="E34">
        <f>'2020'!J11</f>
        <v>50</v>
      </c>
      <c r="F34">
        <f>'2020'!E11</f>
        <v>396</v>
      </c>
      <c r="G34">
        <f>'2020'!I11</f>
        <v>454</v>
      </c>
      <c r="H34">
        <f t="shared" si="3"/>
        <v>900</v>
      </c>
      <c r="I34" s="30">
        <f t="shared" si="4"/>
        <v>-0.34532871972318341</v>
      </c>
    </row>
    <row r="35" spans="2:9" x14ac:dyDescent="0.2">
      <c r="C35" s="48">
        <v>2019</v>
      </c>
      <c r="D35" s="11">
        <f>'2019'!D11</f>
        <v>1445</v>
      </c>
      <c r="E35">
        <f>'2019'!J11</f>
        <v>232</v>
      </c>
      <c r="F35">
        <f>'2019'!E11</f>
        <v>645</v>
      </c>
      <c r="G35">
        <f>'2019'!I11</f>
        <v>446</v>
      </c>
      <c r="H35">
        <f t="shared" si="3"/>
        <v>1323</v>
      </c>
    </row>
    <row r="36" spans="2:9" x14ac:dyDescent="0.2">
      <c r="B36" s="34"/>
      <c r="C36" s="51"/>
      <c r="D36" s="34"/>
      <c r="E36" s="34"/>
      <c r="F36" s="34"/>
      <c r="G36" s="34"/>
      <c r="H36" s="34"/>
      <c r="I36" s="34"/>
    </row>
    <row r="37" spans="2:9" ht="38" customHeight="1" x14ac:dyDescent="0.25">
      <c r="C37" s="52" t="s">
        <v>58</v>
      </c>
      <c r="D37" s="53" t="s">
        <v>84</v>
      </c>
    </row>
    <row r="38" spans="2:9" ht="16" x14ac:dyDescent="0.2">
      <c r="B38" s="32"/>
      <c r="C38" s="53">
        <v>2022</v>
      </c>
      <c r="D38" s="32">
        <v>2023</v>
      </c>
      <c r="E38" s="32"/>
      <c r="F38" s="32"/>
      <c r="G38" s="32"/>
      <c r="H38" s="32"/>
    </row>
    <row r="39" spans="2:9" ht="16" x14ac:dyDescent="0.2">
      <c r="B39" s="32" t="s">
        <v>21</v>
      </c>
      <c r="C39" s="54">
        <f>'2022'!D6</f>
        <v>799</v>
      </c>
      <c r="D39" s="11">
        <f>'YTD 2023'!D6</f>
        <v>826</v>
      </c>
      <c r="E39" s="30">
        <f>(D39-C39)/C39</f>
        <v>3.3792240300375469E-2</v>
      </c>
    </row>
    <row r="40" spans="2:9" ht="16" x14ac:dyDescent="0.2">
      <c r="B40" s="32" t="s">
        <v>22</v>
      </c>
      <c r="C40" s="54">
        <f>'2022'!D7</f>
        <v>681</v>
      </c>
      <c r="D40" s="11">
        <f>'YTD 2023'!D7</f>
        <v>874</v>
      </c>
      <c r="E40" s="30">
        <f t="shared" ref="E40:E41" si="5">(D40-C40)/C40</f>
        <v>0.28340675477239352</v>
      </c>
    </row>
    <row r="41" spans="2:9" ht="16" x14ac:dyDescent="0.2">
      <c r="B41" s="32" t="s">
        <v>23</v>
      </c>
      <c r="C41" s="54">
        <f>'2022'!D8</f>
        <v>970</v>
      </c>
      <c r="D41" s="11">
        <f>'YTD 2023'!D8</f>
        <v>1151</v>
      </c>
      <c r="E41" s="30">
        <f t="shared" si="5"/>
        <v>0.1865979381443299</v>
      </c>
    </row>
    <row r="42" spans="2:9" ht="16" x14ac:dyDescent="0.2">
      <c r="B42" s="32" t="s">
        <v>24</v>
      </c>
      <c r="C42" s="54">
        <f>'2022'!D9</f>
        <v>1057</v>
      </c>
      <c r="D42" s="11">
        <f>'YTD 2023'!D9</f>
        <v>1020</v>
      </c>
      <c r="E42" s="30">
        <f>(D42-C42)/C42</f>
        <v>-3.5004730368968777E-2</v>
      </c>
    </row>
    <row r="43" spans="2:9" x14ac:dyDescent="0.2">
      <c r="D43" t="s">
        <v>57</v>
      </c>
      <c r="E43" s="31">
        <f>AVERAGE(E39:E42)</f>
        <v>0.11719805071203251</v>
      </c>
    </row>
    <row r="44" spans="2:9" x14ac:dyDescent="0.2">
      <c r="B44" s="34"/>
      <c r="C44" s="51"/>
      <c r="D44" s="34"/>
      <c r="E44" s="34"/>
      <c r="F44" s="34"/>
      <c r="G44" s="34"/>
      <c r="H44" s="34"/>
    </row>
    <row r="46" spans="2:9" ht="38" customHeight="1" x14ac:dyDescent="0.25">
      <c r="C46" s="52" t="s">
        <v>52</v>
      </c>
    </row>
    <row r="47" spans="2:9" ht="32" customHeight="1" x14ac:dyDescent="0.2">
      <c r="B47" s="32"/>
      <c r="C47" s="53" t="s">
        <v>50</v>
      </c>
      <c r="D47" s="32" t="s">
        <v>51</v>
      </c>
      <c r="E47" s="53" t="s">
        <v>53</v>
      </c>
      <c r="F47" s="32"/>
      <c r="G47" s="32"/>
      <c r="H47" s="32"/>
    </row>
    <row r="48" spans="2:9" x14ac:dyDescent="0.2">
      <c r="C48" s="48">
        <v>2022</v>
      </c>
      <c r="D48">
        <f>'YTD 2023'!D21</f>
        <v>12102</v>
      </c>
      <c r="E48" s="30">
        <f>(D48-D49)/D49</f>
        <v>0.2435265104808878</v>
      </c>
    </row>
    <row r="49" spans="2:8" x14ac:dyDescent="0.2">
      <c r="C49" s="48">
        <v>2021</v>
      </c>
      <c r="D49">
        <f>'YTD 2023'!D24</f>
        <v>9732</v>
      </c>
      <c r="E49" s="30">
        <f>(D49-D50)/D50</f>
        <v>-0.13769271664008506</v>
      </c>
    </row>
    <row r="50" spans="2:8" x14ac:dyDescent="0.2">
      <c r="C50" s="48">
        <v>2020</v>
      </c>
      <c r="D50">
        <f>'YTD 2023'!D27</f>
        <v>11286</v>
      </c>
      <c r="E50" s="30">
        <f>(D50-D51)/D51</f>
        <v>-0.42179414929043496</v>
      </c>
    </row>
    <row r="51" spans="2:8" x14ac:dyDescent="0.2">
      <c r="C51" s="48">
        <v>2019</v>
      </c>
      <c r="D51">
        <f>'YTD 2023'!D30</f>
        <v>19519</v>
      </c>
      <c r="E51" s="30">
        <f t="shared" ref="E51:E54" si="6">(D51-D52)/D52</f>
        <v>-0.12435512090081198</v>
      </c>
    </row>
    <row r="52" spans="2:8" x14ac:dyDescent="0.2">
      <c r="C52" s="48">
        <v>2018</v>
      </c>
      <c r="D52">
        <v>22291</v>
      </c>
      <c r="E52" s="30">
        <f t="shared" si="6"/>
        <v>0.19554840439796192</v>
      </c>
    </row>
    <row r="53" spans="2:8" x14ac:dyDescent="0.2">
      <c r="C53" s="48">
        <v>2017</v>
      </c>
      <c r="D53">
        <v>18645</v>
      </c>
      <c r="E53" s="30">
        <f t="shared" si="6"/>
        <v>-2.8906250000000001E-2</v>
      </c>
    </row>
    <row r="54" spans="2:8" x14ac:dyDescent="0.2">
      <c r="C54" s="48">
        <v>2016</v>
      </c>
      <c r="D54">
        <v>19200</v>
      </c>
      <c r="E54" s="30">
        <f t="shared" si="6"/>
        <v>2.2527560313149064E-2</v>
      </c>
    </row>
    <row r="55" spans="2:8" x14ac:dyDescent="0.2">
      <c r="C55" s="48">
        <v>2015</v>
      </c>
      <c r="D55">
        <v>18777</v>
      </c>
      <c r="E55" s="30">
        <f>(D55-D56)/D56</f>
        <v>-5.1043614494364987E-2</v>
      </c>
    </row>
    <row r="56" spans="2:8" x14ac:dyDescent="0.2">
      <c r="C56" s="48">
        <v>2014</v>
      </c>
      <c r="D56">
        <v>19787</v>
      </c>
      <c r="E56" s="30">
        <f>(D56-D57)/D57</f>
        <v>-2.7092142786901367E-2</v>
      </c>
    </row>
    <row r="57" spans="2:8" x14ac:dyDescent="0.2">
      <c r="C57" s="48">
        <v>2013</v>
      </c>
      <c r="D57">
        <v>20338</v>
      </c>
      <c r="E57" s="30">
        <f>(D57-D58)/D58</f>
        <v>0.76637137397950317</v>
      </c>
    </row>
    <row r="58" spans="2:8" x14ac:dyDescent="0.2">
      <c r="C58" s="48">
        <v>2012</v>
      </c>
      <c r="D58">
        <v>11514</v>
      </c>
    </row>
    <row r="59" spans="2:8" x14ac:dyDescent="0.2">
      <c r="B59" s="34"/>
      <c r="C59" s="51"/>
      <c r="D59" s="34"/>
      <c r="E59" s="34"/>
      <c r="F59" s="34"/>
      <c r="G59" s="34"/>
      <c r="H59" s="34"/>
    </row>
  </sheetData>
  <mergeCells count="3">
    <mergeCell ref="A3:A5"/>
    <mergeCell ref="A6:A8"/>
    <mergeCell ref="A9:A11"/>
  </mergeCells>
  <pageMargins left="0.7" right="0.7" top="0.75" bottom="0.75" header="0.3" footer="0.3"/>
  <pageSetup scale="34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265ECB-1391-457E-8F18-6DC499BAACF5}">
  <sheetPr>
    <tabColor rgb="FFFFFFCC"/>
    <pageSetUpPr fitToPage="1"/>
  </sheetPr>
  <dimension ref="A1:L53"/>
  <sheetViews>
    <sheetView workbookViewId="0">
      <selection activeCell="F7" sqref="F7"/>
    </sheetView>
  </sheetViews>
  <sheetFormatPr baseColWidth="10" defaultColWidth="8.83203125" defaultRowHeight="15" x14ac:dyDescent="0.2"/>
  <cols>
    <col min="2" max="2" width="8.5" customWidth="1"/>
    <col min="3" max="3" width="10.83203125" bestFit="1" customWidth="1"/>
    <col min="5" max="5" width="15.5" bestFit="1" customWidth="1"/>
    <col min="6" max="6" width="24.83203125" bestFit="1" customWidth="1"/>
    <col min="11" max="11" width="11.1640625" style="30" bestFit="1" customWidth="1"/>
    <col min="12" max="12" width="9.1640625" style="30"/>
  </cols>
  <sheetData>
    <row r="1" spans="1:12" ht="19" x14ac:dyDescent="0.25">
      <c r="A1" s="33" t="s">
        <v>59</v>
      </c>
      <c r="E1" s="36" t="s">
        <v>61</v>
      </c>
      <c r="F1" s="37" t="s">
        <v>62</v>
      </c>
    </row>
    <row r="2" spans="1:12" ht="35" thickBot="1" x14ac:dyDescent="0.25">
      <c r="A2" s="40"/>
      <c r="B2" s="43">
        <v>2022</v>
      </c>
      <c r="C2" s="44" t="s">
        <v>60</v>
      </c>
      <c r="D2" s="40"/>
      <c r="E2" s="38">
        <v>0.1172</v>
      </c>
      <c r="F2" s="39">
        <v>0.51190000000000002</v>
      </c>
    </row>
    <row r="3" spans="1:12" s="32" customFormat="1" ht="16" x14ac:dyDescent="0.2">
      <c r="A3" s="40" t="s">
        <v>26</v>
      </c>
      <c r="B3" s="7">
        <f>C26</f>
        <v>890</v>
      </c>
      <c r="C3" s="6"/>
      <c r="D3" s="41">
        <f>B3+(B3*(E2+F2))</f>
        <v>1449.8989999999999</v>
      </c>
    </row>
    <row r="4" spans="1:12" ht="16" x14ac:dyDescent="0.2">
      <c r="A4" s="40" t="s">
        <v>27</v>
      </c>
      <c r="B4" s="7">
        <f>C19</f>
        <v>1046</v>
      </c>
      <c r="C4" s="6"/>
      <c r="D4" s="41">
        <f>B4+(B4*(E2+F2))</f>
        <v>1704.0385999999999</v>
      </c>
      <c r="E4" s="2">
        <f>'YTD 2023'!P19</f>
        <v>1.1477762140436356</v>
      </c>
      <c r="F4" t="s">
        <v>67</v>
      </c>
    </row>
    <row r="5" spans="1:12" ht="16" x14ac:dyDescent="0.2">
      <c r="A5" s="40" t="s">
        <v>38</v>
      </c>
      <c r="B5" s="6"/>
      <c r="C5" s="7">
        <f>AVERAGE(C13:C15)</f>
        <v>1134.6666666666667</v>
      </c>
      <c r="D5" s="41">
        <f>C5+(C5*(E2+F2))</f>
        <v>1848.4854666666668</v>
      </c>
      <c r="E5" s="30"/>
    </row>
    <row r="6" spans="1:12" x14ac:dyDescent="0.2">
      <c r="C6" s="42" t="s">
        <v>63</v>
      </c>
      <c r="D6" s="41">
        <f>SUM(D3:D5)</f>
        <v>5002.4230666666663</v>
      </c>
      <c r="E6" s="2">
        <f>D6*E4</f>
        <v>5741.6622085032195</v>
      </c>
      <c r="F6" t="s">
        <v>68</v>
      </c>
    </row>
    <row r="9" spans="1:12" x14ac:dyDescent="0.2">
      <c r="A9" s="34"/>
      <c r="B9" s="34"/>
      <c r="C9" s="34"/>
      <c r="D9" s="34"/>
      <c r="E9" s="34"/>
      <c r="F9" s="34"/>
    </row>
    <row r="10" spans="1:12" ht="19" x14ac:dyDescent="0.25">
      <c r="B10" s="33" t="s">
        <v>54</v>
      </c>
    </row>
    <row r="11" spans="1:12" s="32" customFormat="1" ht="16" x14ac:dyDescent="0.2">
      <c r="B11" s="32" t="s">
        <v>50</v>
      </c>
      <c r="C11" s="32" t="s">
        <v>51</v>
      </c>
      <c r="D11" s="32" t="s">
        <v>53</v>
      </c>
      <c r="K11" s="35"/>
      <c r="L11" s="35"/>
    </row>
    <row r="12" spans="1:12" x14ac:dyDescent="0.2">
      <c r="B12">
        <v>2022</v>
      </c>
      <c r="C12" s="11">
        <f>'2022'!D13</f>
        <v>1400</v>
      </c>
      <c r="D12" s="31">
        <f>(C12-C13)/C13</f>
        <v>0.51187904967602593</v>
      </c>
    </row>
    <row r="13" spans="1:12" x14ac:dyDescent="0.2">
      <c r="B13">
        <v>2021</v>
      </c>
      <c r="C13" s="11">
        <f>'2021'!D13</f>
        <v>926</v>
      </c>
      <c r="D13" s="30">
        <f t="shared" ref="D13:D14" si="0">(C13-C14)/C14</f>
        <v>7.3001158748551565E-2</v>
      </c>
    </row>
    <row r="14" spans="1:12" x14ac:dyDescent="0.2">
      <c r="B14">
        <v>2020</v>
      </c>
      <c r="C14" s="11">
        <f>'2020'!D13</f>
        <v>863</v>
      </c>
      <c r="D14" s="30">
        <f t="shared" si="0"/>
        <v>-0.46563467492260063</v>
      </c>
    </row>
    <row r="15" spans="1:12" x14ac:dyDescent="0.2">
      <c r="B15">
        <v>2019</v>
      </c>
      <c r="C15" s="11">
        <f>'2019'!D13</f>
        <v>1615</v>
      </c>
    </row>
    <row r="16" spans="1:12" x14ac:dyDescent="0.2">
      <c r="A16" s="34"/>
      <c r="B16" s="34"/>
      <c r="C16" s="34"/>
      <c r="D16" s="34"/>
      <c r="E16" s="34"/>
      <c r="F16" s="34"/>
    </row>
    <row r="17" spans="1:12" ht="19" x14ac:dyDescent="0.25">
      <c r="B17" s="33" t="s">
        <v>55</v>
      </c>
    </row>
    <row r="18" spans="1:12" s="32" customFormat="1" ht="16" x14ac:dyDescent="0.2">
      <c r="B18" s="32" t="s">
        <v>50</v>
      </c>
      <c r="C18" s="32" t="s">
        <v>51</v>
      </c>
      <c r="D18" s="32" t="s">
        <v>53</v>
      </c>
      <c r="K18" s="35"/>
      <c r="L18" s="35"/>
    </row>
    <row r="19" spans="1:12" x14ac:dyDescent="0.2">
      <c r="B19">
        <v>2022</v>
      </c>
      <c r="C19" s="11">
        <f>'2022'!D12</f>
        <v>1046</v>
      </c>
      <c r="D19" s="30">
        <f>(C19-C20)/C20</f>
        <v>0.24080664294187426</v>
      </c>
    </row>
    <row r="20" spans="1:12" x14ac:dyDescent="0.2">
      <c r="B20">
        <v>2021</v>
      </c>
      <c r="C20" s="11">
        <f>'2021'!D12</f>
        <v>843</v>
      </c>
      <c r="D20" s="30">
        <f t="shared" ref="D20:D21" si="1">(C20-C21)/C21</f>
        <v>5.6390977443609019E-2</v>
      </c>
    </row>
    <row r="21" spans="1:12" x14ac:dyDescent="0.2">
      <c r="B21">
        <v>2020</v>
      </c>
      <c r="C21" s="11">
        <f>'2020'!D12</f>
        <v>798</v>
      </c>
      <c r="D21" s="30">
        <f t="shared" si="1"/>
        <v>-0.51252290775809406</v>
      </c>
    </row>
    <row r="22" spans="1:12" x14ac:dyDescent="0.2">
      <c r="B22">
        <v>2019</v>
      </c>
      <c r="C22" s="11">
        <f>'2019'!D12</f>
        <v>1637</v>
      </c>
    </row>
    <row r="23" spans="1:12" x14ac:dyDescent="0.2">
      <c r="A23" s="34"/>
      <c r="B23" s="34"/>
      <c r="C23" s="34"/>
      <c r="D23" s="34"/>
      <c r="E23" s="34"/>
      <c r="F23" s="34"/>
    </row>
    <row r="24" spans="1:12" ht="19" x14ac:dyDescent="0.25">
      <c r="B24" s="33" t="s">
        <v>56</v>
      </c>
    </row>
    <row r="25" spans="1:12" s="32" customFormat="1" ht="16" x14ac:dyDescent="0.2">
      <c r="B25" s="32" t="s">
        <v>50</v>
      </c>
      <c r="C25" s="32" t="s">
        <v>51</v>
      </c>
      <c r="D25" s="32" t="s">
        <v>53</v>
      </c>
      <c r="K25" s="35"/>
      <c r="L25" s="35"/>
    </row>
    <row r="26" spans="1:12" x14ac:dyDescent="0.2">
      <c r="B26">
        <v>2022</v>
      </c>
      <c r="C26" s="11">
        <f>'2022'!D11</f>
        <v>890</v>
      </c>
      <c r="D26" s="30">
        <f>(C26-C27)/C27</f>
        <v>4.3376318874560373E-2</v>
      </c>
    </row>
    <row r="27" spans="1:12" x14ac:dyDescent="0.2">
      <c r="B27">
        <v>2021</v>
      </c>
      <c r="C27" s="11">
        <f>'2021'!D11</f>
        <v>853</v>
      </c>
      <c r="D27" s="30">
        <f t="shared" ref="D27:D28" si="2">(C27-C28)/C28</f>
        <v>-9.830866807610994E-2</v>
      </c>
    </row>
    <row r="28" spans="1:12" x14ac:dyDescent="0.2">
      <c r="B28">
        <v>2020</v>
      </c>
      <c r="C28" s="11">
        <f>'2020'!D11</f>
        <v>946</v>
      </c>
      <c r="D28" s="30">
        <f t="shared" si="2"/>
        <v>-0.34532871972318341</v>
      </c>
    </row>
    <row r="29" spans="1:12" x14ac:dyDescent="0.2">
      <c r="B29">
        <v>2019</v>
      </c>
      <c r="C29" s="11">
        <f>'2019'!D11</f>
        <v>1445</v>
      </c>
    </row>
    <row r="30" spans="1:12" x14ac:dyDescent="0.2">
      <c r="A30" s="34"/>
      <c r="B30" s="34"/>
      <c r="C30" s="34"/>
      <c r="D30" s="34"/>
      <c r="E30" s="34"/>
      <c r="F30" s="34"/>
    </row>
    <row r="31" spans="1:12" ht="19" x14ac:dyDescent="0.25">
      <c r="B31" s="33" t="s">
        <v>58</v>
      </c>
    </row>
    <row r="32" spans="1:12" ht="16" x14ac:dyDescent="0.2">
      <c r="A32" s="32"/>
      <c r="B32" s="32">
        <v>2022</v>
      </c>
      <c r="C32" s="32">
        <v>2023</v>
      </c>
      <c r="D32" s="32"/>
      <c r="E32" s="32"/>
      <c r="F32" s="32"/>
    </row>
    <row r="33" spans="1:6" ht="16" x14ac:dyDescent="0.2">
      <c r="A33" s="32" t="s">
        <v>21</v>
      </c>
      <c r="B33" s="11">
        <f>'2022'!D6</f>
        <v>799</v>
      </c>
      <c r="C33" s="11">
        <f>'YTD 2023'!D6</f>
        <v>826</v>
      </c>
      <c r="D33" s="30">
        <f>(C33-B33)/B33</f>
        <v>3.3792240300375469E-2</v>
      </c>
    </row>
    <row r="34" spans="1:6" ht="16" x14ac:dyDescent="0.2">
      <c r="A34" s="32" t="s">
        <v>22</v>
      </c>
      <c r="B34" s="11">
        <f>'2022'!D7</f>
        <v>681</v>
      </c>
      <c r="C34" s="11">
        <f>'YTD 2023'!D7</f>
        <v>874</v>
      </c>
      <c r="D34" s="30">
        <f t="shared" ref="D34:D35" si="3">(C34-B34)/B34</f>
        <v>0.28340675477239352</v>
      </c>
    </row>
    <row r="35" spans="1:6" ht="16" x14ac:dyDescent="0.2">
      <c r="A35" s="32" t="s">
        <v>23</v>
      </c>
      <c r="B35" s="11">
        <f>'2022'!D8</f>
        <v>970</v>
      </c>
      <c r="C35" s="11">
        <f>'YTD 2023'!D8</f>
        <v>1151</v>
      </c>
      <c r="D35" s="30">
        <f t="shared" si="3"/>
        <v>0.1865979381443299</v>
      </c>
    </row>
    <row r="36" spans="1:6" ht="16" x14ac:dyDescent="0.2">
      <c r="A36" s="32" t="s">
        <v>24</v>
      </c>
      <c r="B36" s="11">
        <f>'2022'!D9</f>
        <v>1057</v>
      </c>
      <c r="C36" s="11">
        <f>'YTD 2023'!D9</f>
        <v>1020</v>
      </c>
      <c r="D36" s="30">
        <f>(C36-B36)/B36</f>
        <v>-3.5004730368968777E-2</v>
      </c>
    </row>
    <row r="37" spans="1:6" x14ac:dyDescent="0.2">
      <c r="C37" t="s">
        <v>57</v>
      </c>
      <c r="D37" s="31">
        <f>AVERAGE(D33:D36)</f>
        <v>0.11719805071203251</v>
      </c>
    </row>
    <row r="38" spans="1:6" x14ac:dyDescent="0.2">
      <c r="A38" s="34"/>
      <c r="B38" s="34"/>
      <c r="C38" s="34"/>
      <c r="D38" s="34"/>
      <c r="E38" s="34"/>
      <c r="F38" s="34"/>
    </row>
    <row r="40" spans="1:6" ht="19" x14ac:dyDescent="0.25">
      <c r="B40" s="33" t="s">
        <v>52</v>
      </c>
    </row>
    <row r="41" spans="1:6" ht="16" x14ac:dyDescent="0.2">
      <c r="A41" s="32"/>
      <c r="B41" s="32" t="s">
        <v>50</v>
      </c>
      <c r="C41" s="32" t="s">
        <v>51</v>
      </c>
      <c r="D41" s="32" t="s">
        <v>53</v>
      </c>
      <c r="E41" s="32"/>
      <c r="F41" s="32"/>
    </row>
    <row r="42" spans="1:6" x14ac:dyDescent="0.2">
      <c r="B42">
        <v>2022</v>
      </c>
      <c r="C42">
        <f>'YTD 2023'!D21</f>
        <v>12102</v>
      </c>
      <c r="D42" s="30">
        <f>(C42-C43)/C43</f>
        <v>0.2435265104808878</v>
      </c>
    </row>
    <row r="43" spans="1:6" x14ac:dyDescent="0.2">
      <c r="B43">
        <v>2021</v>
      </c>
      <c r="C43">
        <f>'YTD 2023'!D24</f>
        <v>9732</v>
      </c>
      <c r="D43" s="30">
        <f>(C43-C44)/C44</f>
        <v>-0.13769271664008506</v>
      </c>
    </row>
    <row r="44" spans="1:6" x14ac:dyDescent="0.2">
      <c r="B44">
        <v>2020</v>
      </c>
      <c r="C44">
        <f>'YTD 2023'!D27</f>
        <v>11286</v>
      </c>
      <c r="D44" s="30">
        <f>(C44-C45)/C45</f>
        <v>-0.42179414929043496</v>
      </c>
    </row>
    <row r="45" spans="1:6" x14ac:dyDescent="0.2">
      <c r="B45">
        <v>2019</v>
      </c>
      <c r="C45">
        <f>'YTD 2023'!D30</f>
        <v>19519</v>
      </c>
      <c r="D45" s="30">
        <f t="shared" ref="D45:D48" si="4">(C45-C46)/C46</f>
        <v>-0.12435512090081198</v>
      </c>
    </row>
    <row r="46" spans="1:6" x14ac:dyDescent="0.2">
      <c r="B46">
        <v>2018</v>
      </c>
      <c r="C46">
        <v>22291</v>
      </c>
      <c r="D46" s="30">
        <f t="shared" si="4"/>
        <v>0.19554840439796192</v>
      </c>
    </row>
    <row r="47" spans="1:6" x14ac:dyDescent="0.2">
      <c r="B47">
        <v>2017</v>
      </c>
      <c r="C47">
        <v>18645</v>
      </c>
      <c r="D47" s="30">
        <f t="shared" si="4"/>
        <v>-2.8906250000000001E-2</v>
      </c>
    </row>
    <row r="48" spans="1:6" x14ac:dyDescent="0.2">
      <c r="B48">
        <v>2016</v>
      </c>
      <c r="C48">
        <v>19200</v>
      </c>
      <c r="D48" s="30">
        <f t="shared" si="4"/>
        <v>2.2527560313149064E-2</v>
      </c>
    </row>
    <row r="49" spans="1:6" x14ac:dyDescent="0.2">
      <c r="B49">
        <v>2015</v>
      </c>
      <c r="C49">
        <v>18777</v>
      </c>
      <c r="D49" s="30">
        <f>(C49-C50)/C50</f>
        <v>-5.1043614494364987E-2</v>
      </c>
    </row>
    <row r="50" spans="1:6" x14ac:dyDescent="0.2">
      <c r="B50">
        <v>2014</v>
      </c>
      <c r="C50">
        <v>19787</v>
      </c>
      <c r="D50" s="30">
        <f>(C50-C51)/C51</f>
        <v>-2.7092142786901367E-2</v>
      </c>
    </row>
    <row r="51" spans="1:6" x14ac:dyDescent="0.2">
      <c r="B51">
        <v>2013</v>
      </c>
      <c r="C51">
        <v>20338</v>
      </c>
      <c r="D51" s="30">
        <f>(C51-C52)/C52</f>
        <v>0.76637137397950317</v>
      </c>
    </row>
    <row r="52" spans="1:6" x14ac:dyDescent="0.2">
      <c r="B52">
        <v>2012</v>
      </c>
      <c r="C52">
        <v>11514</v>
      </c>
    </row>
    <row r="53" spans="1:6" x14ac:dyDescent="0.2">
      <c r="A53" s="34"/>
      <c r="B53" s="34"/>
      <c r="C53" s="34"/>
      <c r="D53" s="34"/>
      <c r="E53" s="34"/>
      <c r="F53" s="34"/>
    </row>
  </sheetData>
  <pageMargins left="0.7" right="0.7" top="0.75" bottom="0.75" header="0.3" footer="0.3"/>
  <pageSetup scale="83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0.79998168889431442"/>
    <pageSetUpPr fitToPage="1"/>
  </sheetPr>
  <dimension ref="A1:T31"/>
  <sheetViews>
    <sheetView workbookViewId="0">
      <selection activeCell="K6" sqref="K6"/>
    </sheetView>
  </sheetViews>
  <sheetFormatPr baseColWidth="10" defaultColWidth="8.83203125" defaultRowHeight="15" x14ac:dyDescent="0.2"/>
  <cols>
    <col min="1" max="1" width="3.5" customWidth="1"/>
    <col min="2" max="2" width="17.5" style="1" bestFit="1" customWidth="1"/>
    <col min="3" max="3" width="7.5" bestFit="1" customWidth="1"/>
    <col min="4" max="4" width="11.1640625" customWidth="1"/>
    <col min="5" max="5" width="13.1640625" customWidth="1"/>
    <col min="6" max="6" width="8" bestFit="1" customWidth="1"/>
    <col min="7" max="7" width="7.5" bestFit="1" customWidth="1"/>
    <col min="8" max="8" width="5.83203125" bestFit="1" customWidth="1"/>
    <col min="9" max="9" width="5.6640625" bestFit="1" customWidth="1"/>
    <col min="10" max="10" width="10.1640625" bestFit="1" customWidth="1"/>
    <col min="11" max="11" width="13.6640625" bestFit="1" customWidth="1"/>
    <col min="12" max="13" width="10.5" bestFit="1" customWidth="1"/>
    <col min="14" max="15" width="10.1640625" style="2" bestFit="1" customWidth="1"/>
    <col min="16" max="16" width="9.1640625" style="2" customWidth="1"/>
    <col min="17" max="17" width="12.5" bestFit="1" customWidth="1"/>
    <col min="19" max="19" width="9.83203125" customWidth="1"/>
    <col min="20" max="20" width="10.6640625" customWidth="1"/>
  </cols>
  <sheetData>
    <row r="1" spans="2:20" ht="16" thickBot="1" x14ac:dyDescent="0.25"/>
    <row r="2" spans="2:20" x14ac:dyDescent="0.2">
      <c r="B2" s="68" t="s">
        <v>0</v>
      </c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70"/>
    </row>
    <row r="3" spans="2:20" s="1" customFormat="1" x14ac:dyDescent="0.2">
      <c r="B3" s="71" t="s">
        <v>35</v>
      </c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3"/>
    </row>
    <row r="4" spans="2:20" s="3" customFormat="1" ht="45" customHeight="1" x14ac:dyDescent="0.2">
      <c r="B4" s="74" t="s">
        <v>2</v>
      </c>
      <c r="C4" s="75" t="s">
        <v>3</v>
      </c>
      <c r="D4" s="75" t="s">
        <v>4</v>
      </c>
      <c r="E4" s="75" t="s">
        <v>5</v>
      </c>
      <c r="F4" s="75" t="s">
        <v>6</v>
      </c>
      <c r="G4" s="75"/>
      <c r="H4" s="75"/>
      <c r="I4" s="75" t="s">
        <v>7</v>
      </c>
      <c r="J4" s="75" t="s">
        <v>8</v>
      </c>
      <c r="K4" s="75" t="s">
        <v>65</v>
      </c>
      <c r="L4" s="75" t="s">
        <v>10</v>
      </c>
      <c r="M4" s="75" t="s">
        <v>11</v>
      </c>
      <c r="N4" s="76" t="s">
        <v>12</v>
      </c>
      <c r="O4" s="76" t="s">
        <v>13</v>
      </c>
      <c r="P4" s="76" t="s">
        <v>14</v>
      </c>
      <c r="Q4" s="77" t="s">
        <v>15</v>
      </c>
      <c r="S4" s="3" t="s">
        <v>16</v>
      </c>
      <c r="T4" s="3" t="s">
        <v>17</v>
      </c>
    </row>
    <row r="5" spans="2:20" s="3" customFormat="1" ht="16" x14ac:dyDescent="0.2">
      <c r="B5" s="74"/>
      <c r="C5" s="75"/>
      <c r="D5" s="75"/>
      <c r="E5" s="75"/>
      <c r="F5" s="4" t="s">
        <v>18</v>
      </c>
      <c r="G5" s="4" t="s">
        <v>19</v>
      </c>
      <c r="H5" s="4" t="s">
        <v>20</v>
      </c>
      <c r="I5" s="75"/>
      <c r="J5" s="75"/>
      <c r="K5" s="75"/>
      <c r="L5" s="75"/>
      <c r="M5" s="75"/>
      <c r="N5" s="76"/>
      <c r="O5" s="76"/>
      <c r="P5" s="76"/>
      <c r="Q5" s="77"/>
    </row>
    <row r="6" spans="2:20" x14ac:dyDescent="0.2">
      <c r="B6" s="5" t="s">
        <v>21</v>
      </c>
      <c r="C6" s="6">
        <v>25</v>
      </c>
      <c r="D6" s="7">
        <f>'[1]YTD Report'!$D$6</f>
        <v>826</v>
      </c>
      <c r="E6" s="6">
        <f>SUM('[1]YTD Report'!$E$6)</f>
        <v>414</v>
      </c>
      <c r="F6" s="6">
        <f>('[1]YTD Report'!$F$6)</f>
        <v>133</v>
      </c>
      <c r="G6" s="6">
        <f>'[1]YTD Report'!$G$6</f>
        <v>241</v>
      </c>
      <c r="H6" s="6">
        <f>'[1]YTD Report'!$H$6</f>
        <v>40</v>
      </c>
      <c r="I6" s="6">
        <f>'[1]YTD Report'!$I$6</f>
        <v>215</v>
      </c>
      <c r="J6" s="6">
        <f>'[1]YTD Report'!$J$6</f>
        <v>137</v>
      </c>
      <c r="K6" s="6">
        <f>'[1]YTD Report'!$K$6</f>
        <v>52</v>
      </c>
      <c r="L6" s="6">
        <f>'[1]YTD Report'!$L$6</f>
        <v>0</v>
      </c>
      <c r="M6" s="6">
        <f>'[1]YTD Report'!$M$6</f>
        <v>0</v>
      </c>
      <c r="N6" s="8">
        <f>'[1]YTD Report'!$N$6</f>
        <v>717.48000000000036</v>
      </c>
      <c r="O6" s="8">
        <f>'[1]YTD Report'!$O$6</f>
        <v>674.40000000000032</v>
      </c>
      <c r="P6" s="8">
        <f>N6/(D6-(J6+K6))</f>
        <v>1.1263422291993725</v>
      </c>
      <c r="Q6" s="9">
        <f>'[1]YTD Report'!$Q$6</f>
        <v>12051</v>
      </c>
      <c r="S6" s="10">
        <f>Q6/D6</f>
        <v>14.58958837772397</v>
      </c>
      <c r="T6" s="11">
        <f>D6/C6</f>
        <v>33.04</v>
      </c>
    </row>
    <row r="7" spans="2:20" x14ac:dyDescent="0.2">
      <c r="B7" s="5" t="s">
        <v>22</v>
      </c>
      <c r="C7" s="6">
        <v>23</v>
      </c>
      <c r="D7" s="7">
        <f>'[1]YTD Report'!$D$7</f>
        <v>874</v>
      </c>
      <c r="E7" s="6">
        <f>SUM('[1]YTD Report'!$E$7)</f>
        <v>394</v>
      </c>
      <c r="F7" s="6">
        <f>'[1]YTD Report'!$F$7</f>
        <v>150</v>
      </c>
      <c r="G7" s="6">
        <f>'[1]YTD Report'!$G$7</f>
        <v>202</v>
      </c>
      <c r="H7" s="6">
        <f>'[1]YTD Report'!$H$7</f>
        <v>42</v>
      </c>
      <c r="I7" s="6">
        <f>'[1]YTD Report'!$I$7</f>
        <v>205</v>
      </c>
      <c r="J7" s="6">
        <f>'[1]YTD Report'!$J$7</f>
        <v>179</v>
      </c>
      <c r="K7" s="6">
        <f>'[1]YTD Report'!$K$7</f>
        <v>65</v>
      </c>
      <c r="L7" s="6">
        <v>0</v>
      </c>
      <c r="M7" s="6">
        <f>'[1]YTD Report'!$M$7</f>
        <v>0</v>
      </c>
      <c r="N7" s="8">
        <f>'[1]YTD Report'!$N$7</f>
        <v>728.1</v>
      </c>
      <c r="O7" s="8">
        <f>'[1]YTD Report'!$O$7</f>
        <v>642.4000000000002</v>
      </c>
      <c r="P7" s="8">
        <f>N7/(D7-(J7+K7))</f>
        <v>1.1557142857142857</v>
      </c>
      <c r="Q7" s="9">
        <f>'[1]YTD Report'!$Q$7</f>
        <v>10474</v>
      </c>
      <c r="S7" s="10">
        <f>Q7/D7</f>
        <v>11.983981693363845</v>
      </c>
      <c r="T7" s="11">
        <f t="shared" ref="T7:T13" si="0">D7/C7</f>
        <v>38</v>
      </c>
    </row>
    <row r="8" spans="2:20" x14ac:dyDescent="0.2">
      <c r="B8" s="5" t="s">
        <v>23</v>
      </c>
      <c r="C8" s="6">
        <v>27</v>
      </c>
      <c r="D8" s="7">
        <f>'[1]YTD Report'!$D$8</f>
        <v>1151</v>
      </c>
      <c r="E8" s="7">
        <f>SUM('[1]YTD Report'!$D$8)</f>
        <v>1151</v>
      </c>
      <c r="F8" s="6">
        <f>'[1]YTD Report'!$F$8</f>
        <v>187</v>
      </c>
      <c r="G8" s="6">
        <f>'[1]YTD Report'!$G$8</f>
        <v>264</v>
      </c>
      <c r="H8" s="6">
        <f>'[1]YTD Report'!$H$8</f>
        <v>49</v>
      </c>
      <c r="I8" s="6">
        <f>'[1]YTD Report'!$I$8</f>
        <v>253</v>
      </c>
      <c r="J8" s="6">
        <f>'[1]YTD Report'!$J$8</f>
        <v>192</v>
      </c>
      <c r="K8" s="6">
        <f>'[1]YTD Report'!$K$8</f>
        <v>63</v>
      </c>
      <c r="L8" s="6">
        <f>'[1]YTD Report'!$L$8</f>
        <v>0</v>
      </c>
      <c r="M8" s="6">
        <f>'[1]YTD Report'!$M$8</f>
        <v>0</v>
      </c>
      <c r="N8" s="8">
        <f>'[1]YTD Report'!$N$8</f>
        <v>1022.6200000000003</v>
      </c>
      <c r="O8" s="8">
        <f>'[1]YTD Report'!$O$8</f>
        <v>880.80000000000018</v>
      </c>
      <c r="P8" s="8">
        <f>N8/(D8-(J8+K8))</f>
        <v>1.1413169642857146</v>
      </c>
      <c r="Q8" s="9">
        <f>'[1]YTD Report'!$Q$8</f>
        <v>13148</v>
      </c>
      <c r="S8" s="10">
        <f>Q8/D8</f>
        <v>11.423110338835794</v>
      </c>
      <c r="T8" s="11">
        <f t="shared" si="0"/>
        <v>42.629629629629626</v>
      </c>
    </row>
    <row r="9" spans="2:20" x14ac:dyDescent="0.2">
      <c r="B9" s="5" t="s">
        <v>24</v>
      </c>
      <c r="C9" s="6">
        <v>25</v>
      </c>
      <c r="D9" s="7">
        <f>'[1]YTD Report'!$D$9</f>
        <v>1020</v>
      </c>
      <c r="E9" s="7">
        <f>SUM('[1]YTD Report'!$D$9)</f>
        <v>1020</v>
      </c>
      <c r="F9" s="6">
        <f>'[1]YTD Report'!$F$9</f>
        <v>190</v>
      </c>
      <c r="G9" s="6">
        <f>'[1]YTD Report'!$G$9</f>
        <v>285</v>
      </c>
      <c r="H9" s="6">
        <f>'[1]YTD Report'!$H$9</f>
        <v>59</v>
      </c>
      <c r="I9" s="6">
        <f>'[1]YTD Report'!$I$9</f>
        <v>280</v>
      </c>
      <c r="J9" s="6">
        <f>'[1]YTD Report'!$J$9</f>
        <v>133</v>
      </c>
      <c r="K9" s="6">
        <f>'[1]YTD Report'!$K$9</f>
        <v>1</v>
      </c>
      <c r="L9" s="6">
        <f>'[1]YTD Report'!$L$9</f>
        <v>0</v>
      </c>
      <c r="M9" s="6">
        <f>'[1]YTD Report'!$M$9</f>
        <v>0</v>
      </c>
      <c r="N9" s="8">
        <f>'[1]YTD Report'!$N$9</f>
        <v>1034.6100000000004</v>
      </c>
      <c r="O9" s="8">
        <f>'[1]YTD Report'!$O$9</f>
        <v>873.90000000000009</v>
      </c>
      <c r="P9" s="8">
        <f>N9/(D9-(J9+K9))</f>
        <v>1.1677313769751696</v>
      </c>
      <c r="Q9" s="9">
        <f>'[1]YTD Report'!$Q$9</f>
        <v>11970</v>
      </c>
      <c r="S9" s="10">
        <f>Q9/D9</f>
        <v>11.735294117647058</v>
      </c>
      <c r="T9" s="11">
        <f t="shared" si="0"/>
        <v>40.799999999999997</v>
      </c>
    </row>
    <row r="10" spans="2:20" x14ac:dyDescent="0.2">
      <c r="B10" s="5" t="s">
        <v>25</v>
      </c>
      <c r="C10" s="6">
        <v>26</v>
      </c>
      <c r="D10" s="7"/>
      <c r="E10" s="6"/>
      <c r="F10" s="6"/>
      <c r="G10" s="6"/>
      <c r="H10" s="6"/>
      <c r="I10" s="6"/>
      <c r="J10" s="6"/>
      <c r="K10" s="6"/>
      <c r="L10" s="6"/>
      <c r="M10" s="6"/>
      <c r="N10" s="8"/>
      <c r="O10" s="8"/>
      <c r="P10" s="8"/>
      <c r="Q10" s="9"/>
      <c r="S10" s="10"/>
      <c r="T10" s="11">
        <f t="shared" si="0"/>
        <v>0</v>
      </c>
    </row>
    <row r="11" spans="2:20" x14ac:dyDescent="0.2">
      <c r="B11" s="5" t="s">
        <v>26</v>
      </c>
      <c r="C11" s="6">
        <v>25</v>
      </c>
      <c r="D11" s="7"/>
      <c r="E11" s="6"/>
      <c r="F11" s="6"/>
      <c r="G11" s="6"/>
      <c r="H11" s="6"/>
      <c r="I11" s="6"/>
      <c r="J11" s="6"/>
      <c r="K11" s="6"/>
      <c r="L11" s="6"/>
      <c r="M11" s="6"/>
      <c r="N11" s="8"/>
      <c r="O11" s="8"/>
      <c r="P11" s="8"/>
      <c r="Q11" s="9"/>
      <c r="S11" s="10"/>
      <c r="T11" s="11">
        <f t="shared" si="0"/>
        <v>0</v>
      </c>
    </row>
    <row r="12" spans="2:20" x14ac:dyDescent="0.2">
      <c r="B12" s="5" t="s">
        <v>27</v>
      </c>
      <c r="C12" s="6">
        <v>25</v>
      </c>
      <c r="D12" s="7"/>
      <c r="E12" s="6"/>
      <c r="F12" s="6"/>
      <c r="G12" s="6"/>
      <c r="H12" s="6"/>
      <c r="I12" s="6"/>
      <c r="J12" s="6"/>
      <c r="K12" s="6"/>
      <c r="L12" s="6"/>
      <c r="M12" s="6"/>
      <c r="N12" s="8"/>
      <c r="O12" s="8"/>
      <c r="P12" s="8"/>
      <c r="Q12" s="9"/>
      <c r="S12" s="10"/>
      <c r="T12" s="11">
        <f t="shared" si="0"/>
        <v>0</v>
      </c>
    </row>
    <row r="13" spans="2:20" x14ac:dyDescent="0.2">
      <c r="B13" s="5" t="s">
        <v>36</v>
      </c>
      <c r="C13" s="6">
        <v>27</v>
      </c>
      <c r="D13" s="7"/>
      <c r="E13" s="6"/>
      <c r="F13" s="6"/>
      <c r="G13" s="6"/>
      <c r="H13" s="6"/>
      <c r="I13" s="6"/>
      <c r="J13" s="6"/>
      <c r="K13" s="6"/>
      <c r="L13" s="6"/>
      <c r="M13" s="6"/>
      <c r="N13" s="8"/>
      <c r="O13" s="8"/>
      <c r="P13" s="8"/>
      <c r="Q13" s="9"/>
      <c r="S13" s="10"/>
      <c r="T13" s="11">
        <f t="shared" si="0"/>
        <v>0</v>
      </c>
    </row>
    <row r="14" spans="2:20" x14ac:dyDescent="0.2">
      <c r="B14" s="5" t="s">
        <v>29</v>
      </c>
      <c r="C14" s="6">
        <v>25</v>
      </c>
      <c r="D14" s="7"/>
      <c r="E14" s="6"/>
      <c r="F14" s="6"/>
      <c r="G14" s="6"/>
      <c r="H14" s="6"/>
      <c r="I14" s="6"/>
      <c r="J14" s="6"/>
      <c r="K14" s="6"/>
      <c r="L14" s="6"/>
      <c r="M14" s="6"/>
      <c r="N14" s="8"/>
      <c r="O14" s="8"/>
      <c r="P14" s="8"/>
      <c r="Q14" s="9"/>
      <c r="S14" s="10"/>
      <c r="T14" s="11">
        <f>D14/C14</f>
        <v>0</v>
      </c>
    </row>
    <row r="15" spans="2:20" x14ac:dyDescent="0.2">
      <c r="B15" s="5" t="s">
        <v>30</v>
      </c>
      <c r="C15" s="6">
        <v>26</v>
      </c>
      <c r="D15" s="6"/>
      <c r="E15" s="6"/>
      <c r="F15" s="6"/>
      <c r="G15" s="6"/>
      <c r="H15" s="6"/>
      <c r="I15" s="6"/>
      <c r="J15" s="6"/>
      <c r="K15" s="6"/>
      <c r="L15" s="6"/>
      <c r="M15" s="6"/>
      <c r="N15" s="8"/>
      <c r="O15" s="8"/>
      <c r="P15" s="8"/>
      <c r="Q15" s="9"/>
      <c r="S15" s="10"/>
      <c r="T15" s="11">
        <f>D15/C15</f>
        <v>0</v>
      </c>
    </row>
    <row r="16" spans="2:20" x14ac:dyDescent="0.2">
      <c r="B16" s="5" t="s">
        <v>31</v>
      </c>
      <c r="C16" s="6">
        <v>22</v>
      </c>
      <c r="D16" s="6"/>
      <c r="E16" s="6"/>
      <c r="F16" s="6"/>
      <c r="G16" s="6"/>
      <c r="H16" s="6"/>
      <c r="I16" s="6"/>
      <c r="J16" s="6"/>
      <c r="K16" s="6"/>
      <c r="L16" s="6"/>
      <c r="M16" s="6"/>
      <c r="N16" s="8"/>
      <c r="O16" s="8"/>
      <c r="P16" s="8"/>
      <c r="Q16" s="9"/>
      <c r="S16" s="10"/>
      <c r="T16" s="11">
        <f>D16/C16</f>
        <v>0</v>
      </c>
    </row>
    <row r="17" spans="1:20" x14ac:dyDescent="0.2">
      <c r="B17" s="5" t="s">
        <v>32</v>
      </c>
      <c r="C17" s="6">
        <v>24</v>
      </c>
      <c r="D17" s="6"/>
      <c r="E17" s="6"/>
      <c r="F17" s="6"/>
      <c r="G17" s="6"/>
      <c r="H17" s="6"/>
      <c r="I17" s="6"/>
      <c r="J17" s="6"/>
      <c r="K17" s="6"/>
      <c r="L17" s="6"/>
      <c r="M17" s="6"/>
      <c r="N17" s="8"/>
      <c r="O17" s="8"/>
      <c r="P17" s="8"/>
      <c r="Q17" s="9"/>
    </row>
    <row r="18" spans="1:20" s="1" customFormat="1" x14ac:dyDescent="0.2">
      <c r="B18" s="12" t="s">
        <v>33</v>
      </c>
      <c r="C18" s="13">
        <f t="shared" ref="C18:O18" si="1">SUM(C6:C17)</f>
        <v>300</v>
      </c>
      <c r="D18" s="13">
        <f t="shared" si="1"/>
        <v>3871</v>
      </c>
      <c r="E18" s="13">
        <f t="shared" si="1"/>
        <v>2979</v>
      </c>
      <c r="F18" s="13">
        <f t="shared" si="1"/>
        <v>660</v>
      </c>
      <c r="G18" s="13">
        <f t="shared" si="1"/>
        <v>992</v>
      </c>
      <c r="H18" s="13">
        <f t="shared" si="1"/>
        <v>190</v>
      </c>
      <c r="I18" s="13">
        <f t="shared" si="1"/>
        <v>953</v>
      </c>
      <c r="J18" s="13">
        <f t="shared" si="1"/>
        <v>641</v>
      </c>
      <c r="K18" s="13">
        <f t="shared" si="1"/>
        <v>181</v>
      </c>
      <c r="L18" s="13">
        <f t="shared" si="1"/>
        <v>0</v>
      </c>
      <c r="M18" s="13">
        <f t="shared" si="1"/>
        <v>0</v>
      </c>
      <c r="N18" s="14">
        <f t="shared" si="1"/>
        <v>3502.8100000000013</v>
      </c>
      <c r="O18" s="14">
        <f t="shared" si="1"/>
        <v>3071.5000000000009</v>
      </c>
      <c r="P18" s="14"/>
      <c r="Q18" s="15">
        <f>SUM(Q6:Q17)</f>
        <v>47643</v>
      </c>
    </row>
    <row r="19" spans="1:20" s="1" customFormat="1" ht="16" thickBot="1" x14ac:dyDescent="0.25">
      <c r="B19" s="16" t="s">
        <v>34</v>
      </c>
      <c r="C19" s="17">
        <f>AVERAGEIF(C6:C17,"&lt;&gt;0")</f>
        <v>25</v>
      </c>
      <c r="D19" s="17">
        <f t="shared" ref="D19:Q19" si="2">AVERAGEIF(D6:D17,"&lt;&gt;0")</f>
        <v>967.75</v>
      </c>
      <c r="E19" s="17">
        <f t="shared" si="2"/>
        <v>744.75</v>
      </c>
      <c r="F19" s="17">
        <f t="shared" si="2"/>
        <v>165</v>
      </c>
      <c r="G19" s="17">
        <f t="shared" si="2"/>
        <v>248</v>
      </c>
      <c r="H19" s="17">
        <f t="shared" si="2"/>
        <v>47.5</v>
      </c>
      <c r="I19" s="17">
        <f t="shared" si="2"/>
        <v>238.25</v>
      </c>
      <c r="J19" s="17">
        <f t="shared" si="2"/>
        <v>160.25</v>
      </c>
      <c r="K19" s="17">
        <f t="shared" si="2"/>
        <v>45.25</v>
      </c>
      <c r="L19" s="17">
        <f>AVERAGE(L6:L17)</f>
        <v>0</v>
      </c>
      <c r="M19" s="17">
        <f>AVERAGE(M6:M17)</f>
        <v>0</v>
      </c>
      <c r="N19" s="20">
        <f t="shared" si="2"/>
        <v>875.70250000000033</v>
      </c>
      <c r="O19" s="20">
        <f t="shared" si="2"/>
        <v>767.87500000000023</v>
      </c>
      <c r="P19" s="20">
        <f t="shared" si="2"/>
        <v>1.1477762140436356</v>
      </c>
      <c r="Q19" s="17">
        <f t="shared" si="2"/>
        <v>11910.75</v>
      </c>
      <c r="S19" s="22">
        <f>AVERAGE(S6:S18)</f>
        <v>12.432993631892668</v>
      </c>
      <c r="T19" s="23">
        <f>AVERAGEIF(T6:T18,"&lt;&gt;0")</f>
        <v>38.617407407407399</v>
      </c>
    </row>
    <row r="20" spans="1:20" ht="16" thickBot="1" x14ac:dyDescent="0.25"/>
    <row r="21" spans="1:20" x14ac:dyDescent="0.2">
      <c r="A21" s="78">
        <v>2022</v>
      </c>
      <c r="B21" s="24" t="s">
        <v>33</v>
      </c>
      <c r="C21" s="25">
        <f>'2022'!C19</f>
        <v>304</v>
      </c>
      <c r="D21" s="25">
        <f>'2022'!D19</f>
        <v>12102</v>
      </c>
      <c r="E21" s="25">
        <f>'2022'!E19</f>
        <v>4919</v>
      </c>
      <c r="F21" s="25">
        <f>'2022'!F19</f>
        <v>1237</v>
      </c>
      <c r="G21" s="25">
        <f>'2022'!G19</f>
        <v>2838</v>
      </c>
      <c r="H21" s="25">
        <f>'2022'!H19</f>
        <v>844</v>
      </c>
      <c r="I21" s="25">
        <f>'2022'!I19</f>
        <v>3562</v>
      </c>
      <c r="J21" s="25">
        <f>'2022'!J19</f>
        <v>1788</v>
      </c>
      <c r="K21" s="25">
        <f>'2022'!K19</f>
        <v>1115</v>
      </c>
      <c r="L21" s="25">
        <f>'2022'!L19</f>
        <v>28</v>
      </c>
      <c r="M21" s="25">
        <f>'2022'!M19</f>
        <v>0</v>
      </c>
      <c r="N21" s="26">
        <f>'2022'!N19</f>
        <v>9041.340000000002</v>
      </c>
      <c r="O21" s="26">
        <f>'2022'!O19</f>
        <v>9571.5500000000011</v>
      </c>
      <c r="P21" s="26"/>
      <c r="Q21" s="25">
        <f>'2022'!Q19</f>
        <v>131102</v>
      </c>
    </row>
    <row r="22" spans="1:20" ht="16" thickBot="1" x14ac:dyDescent="0.25">
      <c r="A22" s="79"/>
      <c r="B22" s="16" t="s">
        <v>34</v>
      </c>
      <c r="C22" s="17">
        <f>'2022'!C20</f>
        <v>25.333333333333332</v>
      </c>
      <c r="D22" s="17">
        <f>'2022'!D20</f>
        <v>1008.5</v>
      </c>
      <c r="E22" s="17">
        <f>'2022'!E20</f>
        <v>409.91666666666669</v>
      </c>
      <c r="F22" s="17">
        <f>'2022'!F20</f>
        <v>103.08333333333333</v>
      </c>
      <c r="G22" s="17">
        <f>'2022'!G20</f>
        <v>236.5</v>
      </c>
      <c r="H22" s="17">
        <f>'2022'!H20</f>
        <v>70.333333333333329</v>
      </c>
      <c r="I22" s="17">
        <f>'2022'!I20</f>
        <v>296.83333333333331</v>
      </c>
      <c r="J22" s="17">
        <f>'2022'!J20</f>
        <v>149</v>
      </c>
      <c r="K22" s="17">
        <f>'2022'!K20</f>
        <v>92.916666666666671</v>
      </c>
      <c r="L22" s="17">
        <f>'2022'!L20</f>
        <v>2.5454545454545454</v>
      </c>
      <c r="M22" s="17">
        <f>'2022'!M20</f>
        <v>0</v>
      </c>
      <c r="N22" s="20">
        <f>'2022'!N20</f>
        <v>753.44500000000016</v>
      </c>
      <c r="O22" s="20">
        <f>'2022'!O20</f>
        <v>797.62916666666672</v>
      </c>
      <c r="P22" s="20">
        <f>'2022'!P20</f>
        <v>0.97436625150910927</v>
      </c>
      <c r="Q22" s="17">
        <f>'2022'!Q20</f>
        <v>10925.166666666666</v>
      </c>
      <c r="S22" s="10">
        <f>Q22/D22</f>
        <v>10.833085440423069</v>
      </c>
      <c r="T22" s="11">
        <f>D22/C22</f>
        <v>39.809210526315795</v>
      </c>
    </row>
    <row r="23" spans="1:20" ht="16" thickBot="1" x14ac:dyDescent="0.25"/>
    <row r="24" spans="1:20" ht="15.75" customHeight="1" x14ac:dyDescent="0.2">
      <c r="A24" s="78">
        <v>2021</v>
      </c>
      <c r="B24" s="24" t="s">
        <v>33</v>
      </c>
      <c r="C24" s="25">
        <f>'2021'!C19</f>
        <v>299</v>
      </c>
      <c r="D24" s="25">
        <f>'2021'!D19</f>
        <v>9732</v>
      </c>
      <c r="E24" s="25">
        <f>'2021'!E19</f>
        <v>4049</v>
      </c>
      <c r="F24" s="25">
        <f>'2021'!F19</f>
        <v>1183</v>
      </c>
      <c r="G24" s="25">
        <f>'2021'!G19</f>
        <v>2048</v>
      </c>
      <c r="H24" s="25">
        <f>'2021'!H19</f>
        <v>818</v>
      </c>
      <c r="I24" s="25">
        <f>'2021'!I19</f>
        <v>3741</v>
      </c>
      <c r="J24" s="25">
        <f>'2021'!J19</f>
        <v>1126</v>
      </c>
      <c r="K24" s="25">
        <f>'2021'!K19</f>
        <v>816</v>
      </c>
      <c r="L24" s="25">
        <f>'2021'!L19</f>
        <v>0</v>
      </c>
      <c r="M24" s="25">
        <f>'2021'!M19</f>
        <v>0</v>
      </c>
      <c r="N24" s="26">
        <f>'2021'!N19</f>
        <v>10023.75</v>
      </c>
      <c r="O24" s="26">
        <f>'2021'!O19</f>
        <v>9053.15</v>
      </c>
      <c r="P24" s="26"/>
      <c r="Q24" s="25">
        <f>'2021'!Q19</f>
        <v>127570</v>
      </c>
    </row>
    <row r="25" spans="1:20" ht="16" thickBot="1" x14ac:dyDescent="0.25">
      <c r="A25" s="79"/>
      <c r="B25" s="16" t="s">
        <v>34</v>
      </c>
      <c r="C25" s="17">
        <f>'2021'!C20</f>
        <v>24.916666666666668</v>
      </c>
      <c r="D25" s="17">
        <f>'2021'!D20</f>
        <v>811</v>
      </c>
      <c r="E25" s="17">
        <f>'2021'!E20</f>
        <v>337.41666666666669</v>
      </c>
      <c r="F25" s="17">
        <f>'2021'!F20</f>
        <v>98.583333333333329</v>
      </c>
      <c r="G25" s="17">
        <f>'2021'!G20</f>
        <v>170.66666666666666</v>
      </c>
      <c r="H25" s="17">
        <f>'2021'!H20</f>
        <v>68.166666666666671</v>
      </c>
      <c r="I25" s="17">
        <f>'2021'!I20</f>
        <v>311.75</v>
      </c>
      <c r="J25" s="17">
        <f>'2021'!J20</f>
        <v>93.833333333333329</v>
      </c>
      <c r="K25" s="17">
        <f>'2021'!K20</f>
        <v>68</v>
      </c>
      <c r="L25" s="17">
        <f>'2021'!L20</f>
        <v>0</v>
      </c>
      <c r="M25" s="17">
        <f>'2021'!M20</f>
        <v>0</v>
      </c>
      <c r="N25" s="20">
        <f>'2021'!N20</f>
        <v>835.3125</v>
      </c>
      <c r="O25" s="20">
        <f>'2021'!O20</f>
        <v>754.42916666666667</v>
      </c>
      <c r="P25" s="20">
        <f>'2021'!P20</f>
        <v>1.2896306009472167</v>
      </c>
      <c r="Q25" s="17">
        <f>'2021'!Q20</f>
        <v>10630.833333333334</v>
      </c>
      <c r="S25" s="10">
        <f>Q25/D25</f>
        <v>13.108302507192766</v>
      </c>
      <c r="T25" s="11">
        <f>D25/C25</f>
        <v>32.548494983277592</v>
      </c>
    </row>
    <row r="26" spans="1:20" ht="16" thickBot="1" x14ac:dyDescent="0.25"/>
    <row r="27" spans="1:20" x14ac:dyDescent="0.2">
      <c r="A27" s="78">
        <v>2020</v>
      </c>
      <c r="B27" s="24" t="s">
        <v>33</v>
      </c>
      <c r="C27" s="25">
        <f>'2020'!C19</f>
        <v>306</v>
      </c>
      <c r="D27" s="25">
        <f>'2020'!D19</f>
        <v>11286</v>
      </c>
      <c r="E27" s="25">
        <f>'2020'!E19</f>
        <v>4860</v>
      </c>
      <c r="F27" s="25">
        <f>'2020'!F19</f>
        <v>1253</v>
      </c>
      <c r="G27" s="25">
        <f>'2020'!G19</f>
        <v>2406</v>
      </c>
      <c r="H27" s="25">
        <f>'2020'!H19</f>
        <v>1201</v>
      </c>
      <c r="I27" s="25">
        <f>'2020'!I19</f>
        <v>4289</v>
      </c>
      <c r="J27" s="25">
        <f>'2020'!J19</f>
        <v>1308</v>
      </c>
      <c r="K27" s="25">
        <f>'2020'!K19</f>
        <v>828</v>
      </c>
      <c r="L27" s="25">
        <f>'2020'!L19</f>
        <v>1</v>
      </c>
      <c r="M27" s="25">
        <f>'2020'!M19</f>
        <v>0</v>
      </c>
      <c r="N27" s="26">
        <f>'2020'!N19</f>
        <v>11080.5</v>
      </c>
      <c r="O27" s="26">
        <f>'2020'!O19</f>
        <v>10564.500000000002</v>
      </c>
      <c r="P27" s="26"/>
      <c r="Q27" s="25">
        <f>'2020'!Q19</f>
        <v>130559</v>
      </c>
    </row>
    <row r="28" spans="1:20" ht="16" thickBot="1" x14ac:dyDescent="0.25">
      <c r="A28" s="79"/>
      <c r="B28" s="16" t="s">
        <v>34</v>
      </c>
      <c r="C28" s="17">
        <f>'2020'!C20</f>
        <v>25.5</v>
      </c>
      <c r="D28" s="17">
        <f>'2020'!D20</f>
        <v>940.5</v>
      </c>
      <c r="E28" s="17">
        <f>'2020'!E20</f>
        <v>405</v>
      </c>
      <c r="F28" s="17">
        <f>'2020'!F20</f>
        <v>104.41666666666667</v>
      </c>
      <c r="G28" s="17">
        <f>'2020'!G20</f>
        <v>200.5</v>
      </c>
      <c r="H28" s="17">
        <f>'2020'!H20</f>
        <v>100.08333333333333</v>
      </c>
      <c r="I28" s="17">
        <f>'2020'!I20</f>
        <v>357.41666666666669</v>
      </c>
      <c r="J28" s="17">
        <f>'2020'!J20</f>
        <v>109</v>
      </c>
      <c r="K28" s="17">
        <f>'2020'!K20</f>
        <v>69</v>
      </c>
      <c r="L28" s="17">
        <f>'2020'!L20</f>
        <v>8.3333333333333329E-2</v>
      </c>
      <c r="M28" s="17">
        <f>'2020'!M20</f>
        <v>0</v>
      </c>
      <c r="N28" s="20">
        <f>'2020'!N20</f>
        <v>923.375</v>
      </c>
      <c r="O28" s="20">
        <f>'2020'!O20</f>
        <v>880.37500000000011</v>
      </c>
      <c r="P28" s="20">
        <f>'2020'!P20</f>
        <v>1.230736817916126</v>
      </c>
      <c r="Q28" s="17">
        <f>'2020'!Q20</f>
        <v>10879.916666666666</v>
      </c>
      <c r="S28" s="10">
        <f>Q28/D28</f>
        <v>11.5682261208577</v>
      </c>
      <c r="T28" s="11">
        <f>D28/C28</f>
        <v>36.882352941176471</v>
      </c>
    </row>
    <row r="29" spans="1:20" ht="16" thickBot="1" x14ac:dyDescent="0.25"/>
    <row r="30" spans="1:20" x14ac:dyDescent="0.2">
      <c r="A30" s="78">
        <v>2019</v>
      </c>
      <c r="B30" s="24" t="s">
        <v>33</v>
      </c>
      <c r="C30" s="25">
        <f>'2019'!C19</f>
        <v>304</v>
      </c>
      <c r="D30" s="25">
        <f>'2019'!D19</f>
        <v>19519</v>
      </c>
      <c r="E30" s="25">
        <f>'2019'!E19</f>
        <v>8373</v>
      </c>
      <c r="F30" s="25">
        <f>'2019'!F19</f>
        <v>3137</v>
      </c>
      <c r="G30" s="25">
        <f>'2019'!G19</f>
        <v>3879</v>
      </c>
      <c r="H30" s="25">
        <f>'2019'!H19</f>
        <v>1357</v>
      </c>
      <c r="I30" s="25">
        <f>'2019'!I19</f>
        <v>4995</v>
      </c>
      <c r="J30" s="25">
        <f>'2019'!J19</f>
        <v>3341</v>
      </c>
      <c r="K30" s="25">
        <f>'2019'!K19</f>
        <v>1447</v>
      </c>
      <c r="L30" s="25">
        <f>'2019'!L19</f>
        <v>0</v>
      </c>
      <c r="M30" s="25">
        <f>'2019'!M19</f>
        <v>0</v>
      </c>
      <c r="N30" s="26">
        <f>'2019'!N19</f>
        <v>17393.02</v>
      </c>
      <c r="O30" s="26">
        <f>'2019'!O19</f>
        <v>14609.55</v>
      </c>
      <c r="P30" s="26"/>
      <c r="Q30" s="25">
        <f>'2019'!Q19</f>
        <v>128411</v>
      </c>
    </row>
    <row r="31" spans="1:20" ht="16" thickBot="1" x14ac:dyDescent="0.25">
      <c r="A31" s="79"/>
      <c r="B31" s="16" t="s">
        <v>34</v>
      </c>
      <c r="C31" s="17">
        <f>'2019'!C20</f>
        <v>25.333333333333332</v>
      </c>
      <c r="D31" s="17">
        <f>'2019'!D20</f>
        <v>1626.5833333333333</v>
      </c>
      <c r="E31" s="17">
        <f>'2019'!E20</f>
        <v>697.75</v>
      </c>
      <c r="F31" s="17">
        <f>'2019'!F20</f>
        <v>285.18181818181819</v>
      </c>
      <c r="G31" s="17">
        <f>'2019'!G20</f>
        <v>352.63636363636363</v>
      </c>
      <c r="H31" s="17">
        <f>'2019'!H20</f>
        <v>123.36363636363636</v>
      </c>
      <c r="I31" s="17">
        <f>'2019'!I20</f>
        <v>454.09090909090907</v>
      </c>
      <c r="J31" s="17">
        <f>'2019'!J20</f>
        <v>303.72727272727275</v>
      </c>
      <c r="K31" s="17">
        <f>'2019'!K20</f>
        <v>131.54545454545453</v>
      </c>
      <c r="L31" s="17">
        <f>'2019'!L20</f>
        <v>0</v>
      </c>
      <c r="M31" s="17">
        <f>'2019'!M20</f>
        <v>0</v>
      </c>
      <c r="N31" s="20">
        <f>'2019'!N20</f>
        <v>1449.4183333333333</v>
      </c>
      <c r="O31" s="20">
        <f>'2019'!O20</f>
        <v>1217.4624999999999</v>
      </c>
      <c r="P31" s="20">
        <f>'2019'!P20</f>
        <v>1.2082882549590375</v>
      </c>
      <c r="Q31" s="17">
        <f>'2019'!Q20</f>
        <v>10700.916666666666</v>
      </c>
      <c r="S31" s="10">
        <f>Q31/D31</f>
        <v>6.5787694041702958</v>
      </c>
      <c r="T31" s="11">
        <f>D31/C31</f>
        <v>64.20723684210526</v>
      </c>
    </row>
  </sheetData>
  <mergeCells count="20">
    <mergeCell ref="A27:A28"/>
    <mergeCell ref="A30:A31"/>
    <mergeCell ref="A21:A22"/>
    <mergeCell ref="A24:A25"/>
    <mergeCell ref="L4:L5"/>
    <mergeCell ref="B2:Q2"/>
    <mergeCell ref="B3:Q3"/>
    <mergeCell ref="B4:B5"/>
    <mergeCell ref="C4:C5"/>
    <mergeCell ref="D4:D5"/>
    <mergeCell ref="E4:E5"/>
    <mergeCell ref="F4:H4"/>
    <mergeCell ref="I4:I5"/>
    <mergeCell ref="J4:J5"/>
    <mergeCell ref="K4:K5"/>
    <mergeCell ref="M4:M5"/>
    <mergeCell ref="N4:N5"/>
    <mergeCell ref="O4:O5"/>
    <mergeCell ref="P4:P5"/>
    <mergeCell ref="Q4:Q5"/>
  </mergeCells>
  <pageMargins left="0.7" right="0.7" top="0.75" bottom="0.75" header="0.3" footer="0.3"/>
  <pageSetup scale="77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59999389629810485"/>
    <pageSetUpPr fitToPage="1"/>
  </sheetPr>
  <dimension ref="B1:T23"/>
  <sheetViews>
    <sheetView workbookViewId="0">
      <selection activeCell="P23" sqref="P23"/>
    </sheetView>
  </sheetViews>
  <sheetFormatPr baseColWidth="10" defaultColWidth="8.83203125" defaultRowHeight="15" x14ac:dyDescent="0.2"/>
  <cols>
    <col min="1" max="1" width="3.5" customWidth="1"/>
    <col min="2" max="2" width="16.33203125" style="1" bestFit="1" customWidth="1"/>
    <col min="3" max="3" width="7.5" bestFit="1" customWidth="1"/>
    <col min="4" max="4" width="10.83203125" bestFit="1" customWidth="1"/>
    <col min="5" max="5" width="13.1640625" customWidth="1"/>
    <col min="6" max="6" width="8" bestFit="1" customWidth="1"/>
    <col min="7" max="7" width="7.5" bestFit="1" customWidth="1"/>
    <col min="8" max="8" width="4.83203125" bestFit="1" customWidth="1"/>
    <col min="9" max="9" width="5.6640625" bestFit="1" customWidth="1"/>
    <col min="10" max="10" width="10.1640625" bestFit="1" customWidth="1"/>
    <col min="11" max="11" width="13.6640625" bestFit="1" customWidth="1"/>
    <col min="12" max="13" width="10.5" bestFit="1" customWidth="1"/>
    <col min="14" max="14" width="9.5" style="2" bestFit="1" customWidth="1"/>
    <col min="15" max="15" width="9.1640625" style="2" bestFit="1" customWidth="1"/>
    <col min="16" max="16" width="9.1640625" style="2" customWidth="1"/>
    <col min="17" max="17" width="12.5" bestFit="1" customWidth="1"/>
    <col min="19" max="19" width="9.83203125" customWidth="1"/>
    <col min="20" max="20" width="10.6640625" customWidth="1"/>
  </cols>
  <sheetData>
    <row r="1" spans="2:20" ht="16" thickBot="1" x14ac:dyDescent="0.25"/>
    <row r="2" spans="2:20" x14ac:dyDescent="0.2">
      <c r="B2" s="68" t="s">
        <v>0</v>
      </c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70"/>
    </row>
    <row r="3" spans="2:20" s="1" customFormat="1" x14ac:dyDescent="0.2">
      <c r="B3" s="71" t="s">
        <v>1</v>
      </c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3"/>
    </row>
    <row r="4" spans="2:20" s="3" customFormat="1" ht="45" customHeight="1" x14ac:dyDescent="0.2">
      <c r="B4" s="74" t="s">
        <v>2</v>
      </c>
      <c r="C4" s="75" t="s">
        <v>3</v>
      </c>
      <c r="D4" s="75" t="s">
        <v>4</v>
      </c>
      <c r="E4" s="75" t="s">
        <v>5</v>
      </c>
      <c r="F4" s="75" t="s">
        <v>6</v>
      </c>
      <c r="G4" s="75"/>
      <c r="H4" s="75"/>
      <c r="I4" s="75" t="s">
        <v>7</v>
      </c>
      <c r="J4" s="75" t="s">
        <v>8</v>
      </c>
      <c r="K4" s="75" t="s">
        <v>9</v>
      </c>
      <c r="L4" s="75" t="s">
        <v>10</v>
      </c>
      <c r="M4" s="75" t="s">
        <v>11</v>
      </c>
      <c r="N4" s="76" t="s">
        <v>12</v>
      </c>
      <c r="O4" s="76" t="s">
        <v>13</v>
      </c>
      <c r="P4" s="76" t="s">
        <v>14</v>
      </c>
      <c r="Q4" s="77" t="s">
        <v>15</v>
      </c>
      <c r="S4" s="3" t="s">
        <v>16</v>
      </c>
      <c r="T4" s="3" t="s">
        <v>17</v>
      </c>
    </row>
    <row r="5" spans="2:20" s="3" customFormat="1" ht="16" x14ac:dyDescent="0.2">
      <c r="B5" s="74"/>
      <c r="C5" s="75"/>
      <c r="D5" s="75"/>
      <c r="E5" s="75"/>
      <c r="F5" s="4" t="s">
        <v>18</v>
      </c>
      <c r="G5" s="4" t="s">
        <v>19</v>
      </c>
      <c r="H5" s="4" t="s">
        <v>20</v>
      </c>
      <c r="I5" s="75"/>
      <c r="J5" s="75"/>
      <c r="K5" s="75"/>
      <c r="L5" s="75"/>
      <c r="M5" s="75"/>
      <c r="N5" s="76"/>
      <c r="O5" s="76"/>
      <c r="P5" s="76"/>
      <c r="Q5" s="77"/>
    </row>
    <row r="6" spans="2:20" x14ac:dyDescent="0.2">
      <c r="B6" s="5" t="s">
        <v>21</v>
      </c>
      <c r="C6" s="6">
        <v>25</v>
      </c>
      <c r="D6" s="7">
        <f>[2]Jan!AF85</f>
        <v>799</v>
      </c>
      <c r="E6" s="6">
        <f>SUM([2]Jan!K85:M85)</f>
        <v>380</v>
      </c>
      <c r="F6" s="6">
        <f>[2]Jan!K85</f>
        <v>92</v>
      </c>
      <c r="G6" s="6">
        <f>[2]Jan!L85</f>
        <v>213</v>
      </c>
      <c r="H6" s="6">
        <f>[2]Jan!M85</f>
        <v>75</v>
      </c>
      <c r="I6" s="6">
        <f>[2]Jan!N85</f>
        <v>238</v>
      </c>
      <c r="J6" s="6">
        <f>SUM([2]Jan!O85:P85)</f>
        <v>112</v>
      </c>
      <c r="K6" s="6">
        <f>SUM([2]Jan!S85:W85)</f>
        <v>69</v>
      </c>
      <c r="L6" s="6">
        <f>[2]Jan!X85</f>
        <v>3</v>
      </c>
      <c r="M6" s="6">
        <f>[2]Jan!Y85</f>
        <v>0</v>
      </c>
      <c r="N6" s="8">
        <f>[2]Jan!AC85</f>
        <v>735.01999999999964</v>
      </c>
      <c r="O6" s="8">
        <f>[2]Jan!AD85</f>
        <v>710.74999999999989</v>
      </c>
      <c r="P6" s="8">
        <f>N6/(D6-(J6+K6))</f>
        <v>1.1893527508090609</v>
      </c>
      <c r="Q6" s="9">
        <f>[2]Jan!J85</f>
        <v>10432</v>
      </c>
      <c r="S6" s="10">
        <f>Q6/D6</f>
        <v>13.056320400500626</v>
      </c>
      <c r="T6" s="11">
        <f>D6/C6</f>
        <v>31.96</v>
      </c>
    </row>
    <row r="7" spans="2:20" x14ac:dyDescent="0.2">
      <c r="B7" s="5" t="s">
        <v>22</v>
      </c>
      <c r="C7" s="6">
        <v>23</v>
      </c>
      <c r="D7" s="7">
        <f>[2]Feb!AF81</f>
        <v>681</v>
      </c>
      <c r="E7" s="6">
        <f>SUM([2]Feb!K81:M81)</f>
        <v>296</v>
      </c>
      <c r="F7" s="6">
        <f>[2]Feb!K81</f>
        <v>76</v>
      </c>
      <c r="G7" s="6">
        <f>[2]Feb!L81</f>
        <v>165</v>
      </c>
      <c r="H7" s="6">
        <f>[2]Feb!M81</f>
        <v>55</v>
      </c>
      <c r="I7" s="6">
        <f>[2]Feb!N81</f>
        <v>171</v>
      </c>
      <c r="J7" s="6">
        <f>SUM([2]Feb!O81:P81)</f>
        <v>143</v>
      </c>
      <c r="K7" s="6">
        <f>SUM([2]Feb!Q81:W81)</f>
        <v>71</v>
      </c>
      <c r="L7" s="6">
        <f>[2]Feb!X81</f>
        <v>9</v>
      </c>
      <c r="M7" s="6">
        <f>[2]Feb!Y81</f>
        <v>0</v>
      </c>
      <c r="N7" s="8">
        <f>[2]Feb!AC81</f>
        <v>548.94000000000017</v>
      </c>
      <c r="O7" s="8">
        <f>[2]Feb!AD81</f>
        <v>524.10000000000014</v>
      </c>
      <c r="P7" s="8">
        <f t="shared" ref="P7:P14" si="0">N7/(D7-J7)</f>
        <v>1.0203345724907067</v>
      </c>
      <c r="Q7" s="9">
        <f>[2]Feb!J81</f>
        <v>10083</v>
      </c>
      <c r="S7" s="10">
        <f t="shared" ref="S7:S13" si="1">Q7/D7</f>
        <v>14.806167400881057</v>
      </c>
      <c r="T7" s="11">
        <f t="shared" ref="T7:T13" si="2">D7/C7</f>
        <v>29.608695652173914</v>
      </c>
    </row>
    <row r="8" spans="2:20" x14ac:dyDescent="0.2">
      <c r="B8" s="5" t="s">
        <v>23</v>
      </c>
      <c r="C8" s="6">
        <v>27</v>
      </c>
      <c r="D8" s="7">
        <f>[2]March!AF103</f>
        <v>970</v>
      </c>
      <c r="E8" s="6">
        <f>SUM([2]March!K102:M102)</f>
        <v>398</v>
      </c>
      <c r="F8" s="6">
        <f>[2]March!K102</f>
        <v>89</v>
      </c>
      <c r="G8" s="6">
        <f>[2]March!L102</f>
        <v>230</v>
      </c>
      <c r="H8" s="6">
        <f>[2]March!M102</f>
        <v>79</v>
      </c>
      <c r="I8" s="6">
        <f>[2]March!N102</f>
        <v>312</v>
      </c>
      <c r="J8" s="6">
        <f>SUM([2]March!O103:P103)</f>
        <v>186</v>
      </c>
      <c r="K8" s="6">
        <f>SUM([2]March!Q103:W103)</f>
        <v>74</v>
      </c>
      <c r="L8" s="6">
        <f>[2]March!X103</f>
        <v>0</v>
      </c>
      <c r="M8" s="6">
        <f>[2]March!Y103</f>
        <v>0</v>
      </c>
      <c r="N8" s="8">
        <f>[2]March!AC103</f>
        <v>828.2800000000002</v>
      </c>
      <c r="O8" s="8">
        <f>[2]March!AD103</f>
        <v>806.30000000000041</v>
      </c>
      <c r="P8" s="8">
        <f t="shared" si="0"/>
        <v>1.0564795918367349</v>
      </c>
      <c r="Q8" s="9">
        <f>[2]March!J102</f>
        <v>12092</v>
      </c>
      <c r="S8" s="10">
        <f t="shared" si="1"/>
        <v>12.465979381443299</v>
      </c>
      <c r="T8" s="11">
        <f t="shared" si="2"/>
        <v>35.925925925925924</v>
      </c>
    </row>
    <row r="9" spans="2:20" x14ac:dyDescent="0.2">
      <c r="B9" s="5" t="s">
        <v>24</v>
      </c>
      <c r="C9" s="6">
        <v>26</v>
      </c>
      <c r="D9" s="7">
        <f>[2]Apr!AF91</f>
        <v>1057</v>
      </c>
      <c r="E9" s="6">
        <f>SUM([2]Apr!K90:M90)</f>
        <v>429</v>
      </c>
      <c r="F9" s="6">
        <f>[2]Apr!K90</f>
        <v>102</v>
      </c>
      <c r="G9" s="6">
        <f>[2]Apr!L90</f>
        <v>257</v>
      </c>
      <c r="H9" s="6">
        <f>[2]Apr!M90</f>
        <v>70</v>
      </c>
      <c r="I9" s="6">
        <f>[2]Apr!N90</f>
        <v>344</v>
      </c>
      <c r="J9" s="6">
        <f>SUM([2]Apr!O91:P91)</f>
        <v>211</v>
      </c>
      <c r="K9" s="6">
        <f>SUM([2]Apr!Q91:W91)</f>
        <v>73</v>
      </c>
      <c r="L9" s="6">
        <f>[2]Apr!X91</f>
        <v>0</v>
      </c>
      <c r="M9" s="6">
        <f>[2]Apr!Y91</f>
        <v>0</v>
      </c>
      <c r="N9" s="8">
        <f>[2]Apr!AC91</f>
        <v>806.24</v>
      </c>
      <c r="O9" s="8">
        <f>[2]Apr!AD91</f>
        <v>880.64999999999986</v>
      </c>
      <c r="P9" s="8">
        <f t="shared" si="0"/>
        <v>0.95300236406619387</v>
      </c>
      <c r="Q9" s="9">
        <f>[2]Apr!J91</f>
        <v>11078</v>
      </c>
      <c r="S9" s="10">
        <f t="shared" si="1"/>
        <v>10.480605487228004</v>
      </c>
      <c r="T9" s="11">
        <f t="shared" si="2"/>
        <v>40.653846153846153</v>
      </c>
    </row>
    <row r="10" spans="2:20" x14ac:dyDescent="0.2">
      <c r="B10" s="5" t="s">
        <v>25</v>
      </c>
      <c r="C10" s="6">
        <v>25</v>
      </c>
      <c r="D10" s="7">
        <f>[2]May!AF71</f>
        <v>923</v>
      </c>
      <c r="E10" s="6">
        <f>SUM([2]May!K71:M71)</f>
        <v>381</v>
      </c>
      <c r="F10" s="6">
        <f>[2]May!K71</f>
        <v>91</v>
      </c>
      <c r="G10" s="6">
        <f>[2]May!L71</f>
        <v>228</v>
      </c>
      <c r="H10" s="6">
        <f>[2]May!M71</f>
        <v>62</v>
      </c>
      <c r="I10" s="6">
        <f>[2]May!N71</f>
        <v>331</v>
      </c>
      <c r="J10" s="6">
        <f>SUM([2]May!O71:P71)</f>
        <v>111</v>
      </c>
      <c r="K10" s="6">
        <f>SUM([2]May!Q71:W71)</f>
        <v>100</v>
      </c>
      <c r="L10" s="6">
        <f>[2]May!X71</f>
        <v>0</v>
      </c>
      <c r="M10" s="6">
        <f>[2]May!Y71</f>
        <v>0</v>
      </c>
      <c r="N10" s="8">
        <f>[2]May!AC71</f>
        <v>880.75999999999988</v>
      </c>
      <c r="O10" s="8">
        <f>[2]May!AD71</f>
        <v>821</v>
      </c>
      <c r="P10" s="8">
        <f t="shared" si="0"/>
        <v>1.0846798029556648</v>
      </c>
      <c r="Q10" s="9">
        <f>[2]May!J71</f>
        <v>9058</v>
      </c>
      <c r="S10" s="10">
        <f t="shared" si="1"/>
        <v>9.8136511375947997</v>
      </c>
      <c r="T10" s="11">
        <f t="shared" si="2"/>
        <v>36.92</v>
      </c>
    </row>
    <row r="11" spans="2:20" x14ac:dyDescent="0.2">
      <c r="B11" s="5" t="s">
        <v>26</v>
      </c>
      <c r="C11" s="6">
        <v>25</v>
      </c>
      <c r="D11" s="7">
        <f>[2]June!AF86</f>
        <v>890</v>
      </c>
      <c r="E11" s="6">
        <f>SUM([2]June!K86:M86)</f>
        <v>390</v>
      </c>
      <c r="F11" s="6">
        <f>[2]June!K86</f>
        <v>76</v>
      </c>
      <c r="G11" s="6">
        <f>[2]June!L86</f>
        <v>248</v>
      </c>
      <c r="H11" s="6">
        <f>[2]June!M86</f>
        <v>66</v>
      </c>
      <c r="I11" s="6">
        <f>[2]June!N86</f>
        <v>270</v>
      </c>
      <c r="J11" s="6">
        <f>SUM([2]June!O86:P86)</f>
        <v>115</v>
      </c>
      <c r="K11" s="6">
        <f>SUM([2]June!Q86:W86)</f>
        <v>115</v>
      </c>
      <c r="L11" s="6">
        <f>[2]June!X86</f>
        <v>0</v>
      </c>
      <c r="M11" s="6">
        <f>[2]June!Y86</f>
        <v>0</v>
      </c>
      <c r="N11" s="8">
        <f>[2]June!AC86</f>
        <v>833.25</v>
      </c>
      <c r="O11" s="8">
        <f>[2]June!AD86</f>
        <v>736.49999999999977</v>
      </c>
      <c r="P11" s="8">
        <f t="shared" si="0"/>
        <v>1.0751612903225807</v>
      </c>
      <c r="Q11" s="9">
        <f>[2]June!J86</f>
        <v>10356</v>
      </c>
      <c r="S11" s="10">
        <f t="shared" si="1"/>
        <v>11.635955056179775</v>
      </c>
      <c r="T11" s="11">
        <f t="shared" si="2"/>
        <v>35.6</v>
      </c>
    </row>
    <row r="12" spans="2:20" x14ac:dyDescent="0.2">
      <c r="B12" s="5" t="s">
        <v>27</v>
      </c>
      <c r="C12" s="6">
        <v>25</v>
      </c>
      <c r="D12" s="7">
        <f>[2]July!AF91</f>
        <v>1046</v>
      </c>
      <c r="E12" s="6">
        <f>SUM([2]July!K91:M91)</f>
        <v>465</v>
      </c>
      <c r="F12" s="6">
        <f>[2]July!K91</f>
        <v>104</v>
      </c>
      <c r="G12" s="6">
        <f>[2]July!L91</f>
        <v>285</v>
      </c>
      <c r="H12" s="6">
        <f>[2]July!M91</f>
        <v>76</v>
      </c>
      <c r="I12" s="6">
        <f>[2]July!N91</f>
        <v>316</v>
      </c>
      <c r="J12" s="6">
        <f>SUM([2]July!O91:P91)</f>
        <v>101</v>
      </c>
      <c r="K12" s="6">
        <f>SUM([2]July!Q91:W91)</f>
        <v>164</v>
      </c>
      <c r="L12" s="6"/>
      <c r="M12" s="6"/>
      <c r="N12" s="8">
        <f>[2]July!AC91</f>
        <v>915.69000000000017</v>
      </c>
      <c r="O12" s="8">
        <f>[2]July!AD91</f>
        <v>869.24999999999989</v>
      </c>
      <c r="P12" s="8">
        <f t="shared" si="0"/>
        <v>0.96898412698412717</v>
      </c>
      <c r="Q12" s="9">
        <f>[2]July!J91</f>
        <v>11776</v>
      </c>
      <c r="S12" s="10">
        <f t="shared" si="1"/>
        <v>11.25812619502868</v>
      </c>
      <c r="T12" s="11">
        <f t="shared" si="2"/>
        <v>41.84</v>
      </c>
    </row>
    <row r="13" spans="2:20" x14ac:dyDescent="0.2">
      <c r="B13" s="5" t="s">
        <v>28</v>
      </c>
      <c r="C13" s="6">
        <v>27</v>
      </c>
      <c r="D13" s="7">
        <f>[2]Aug!AF93</f>
        <v>1400</v>
      </c>
      <c r="E13" s="6">
        <f>SUM([2]Aug!K93:M93)</f>
        <v>303</v>
      </c>
      <c r="F13" s="6">
        <f>[2]Aug!K93</f>
        <v>43</v>
      </c>
      <c r="G13" s="6">
        <f>[2]Aug!L93</f>
        <v>155</v>
      </c>
      <c r="H13" s="6">
        <f>[2]Aug!M93</f>
        <v>105</v>
      </c>
      <c r="I13" s="6">
        <f>[2]Aug!N93</f>
        <v>299</v>
      </c>
      <c r="J13" s="6">
        <f>SUM([2]Aug!O93:P93)</f>
        <v>2</v>
      </c>
      <c r="K13" s="6">
        <f>SUM([2]Aug!U93:W93)</f>
        <v>47</v>
      </c>
      <c r="L13" s="6">
        <f>[2]Aug!X93</f>
        <v>6</v>
      </c>
      <c r="M13" s="6"/>
      <c r="N13" s="8">
        <f>[2]Aug!AC93</f>
        <v>0</v>
      </c>
      <c r="O13" s="8">
        <f>[2]Aug!AD93</f>
        <v>706.04999999999984</v>
      </c>
      <c r="P13" s="8">
        <f t="shared" si="0"/>
        <v>0</v>
      </c>
      <c r="Q13" s="9">
        <f>[2]Aug!J93</f>
        <v>11729</v>
      </c>
      <c r="S13" s="10">
        <f t="shared" si="1"/>
        <v>8.3778571428571436</v>
      </c>
      <c r="T13" s="11">
        <f t="shared" si="2"/>
        <v>51.851851851851855</v>
      </c>
    </row>
    <row r="14" spans="2:20" x14ac:dyDescent="0.2">
      <c r="B14" s="5" t="s">
        <v>29</v>
      </c>
      <c r="C14" s="6">
        <v>25</v>
      </c>
      <c r="D14" s="7">
        <f>[2]Sept!AF71</f>
        <v>1181</v>
      </c>
      <c r="E14" s="6">
        <f>SUM([2]Sept!K71:M71)</f>
        <v>522</v>
      </c>
      <c r="F14" s="6">
        <f>[2]Sept!K71</f>
        <v>180</v>
      </c>
      <c r="G14" s="6">
        <f>[2]Sept!L71</f>
        <v>280</v>
      </c>
      <c r="H14" s="6">
        <f>[2]Sept!M71</f>
        <v>62</v>
      </c>
      <c r="I14" s="6">
        <f>[2]Sept!N71</f>
        <v>279</v>
      </c>
      <c r="J14" s="6">
        <f>SUM([2]Sept!O71:P71)</f>
        <v>228</v>
      </c>
      <c r="K14" s="6">
        <f>SUM([2]Sept!U71:W71)</f>
        <v>118</v>
      </c>
      <c r="L14" s="6">
        <f>[2]Sept!X71</f>
        <v>10</v>
      </c>
      <c r="M14" s="6">
        <f>[2]Sept!Y71</f>
        <v>0</v>
      </c>
      <c r="N14" s="8">
        <f>[2]Sept!AC71</f>
        <v>855.0799999999997</v>
      </c>
      <c r="O14" s="8">
        <f>[2]Sept!AD71</f>
        <v>862.20000000000016</v>
      </c>
      <c r="P14" s="8">
        <f t="shared" si="0"/>
        <v>0.89725078698845717</v>
      </c>
      <c r="Q14" s="9">
        <f>[2]Sept!J71</f>
        <v>9446</v>
      </c>
      <c r="S14" s="10">
        <f>Q14/D14</f>
        <v>7.9983065198983914</v>
      </c>
      <c r="T14" s="11">
        <f>D14/C14</f>
        <v>47.24</v>
      </c>
    </row>
    <row r="15" spans="2:20" x14ac:dyDescent="0.2">
      <c r="B15" s="5" t="s">
        <v>30</v>
      </c>
      <c r="C15" s="6">
        <v>26</v>
      </c>
      <c r="D15" s="6">
        <f>[2]Oct!AF87</f>
        <v>1212</v>
      </c>
      <c r="E15" s="6">
        <f>SUM([2]Oct!K87:M87)</f>
        <v>520</v>
      </c>
      <c r="F15" s="6">
        <f>[2]Oct!K87</f>
        <v>146</v>
      </c>
      <c r="G15" s="6">
        <f>[2]Oct!L87</f>
        <v>294</v>
      </c>
      <c r="H15" s="6">
        <f>[2]Oct!M87</f>
        <v>80</v>
      </c>
      <c r="I15" s="6">
        <f>[2]Oct!N87</f>
        <v>400</v>
      </c>
      <c r="J15" s="6">
        <f>SUM([2]Oct!O87:P87)</f>
        <v>226</v>
      </c>
      <c r="K15" s="6">
        <f>SUM([2]Oct!Q87:W87)</f>
        <v>81</v>
      </c>
      <c r="L15" s="6">
        <f>[2]Oct!X87</f>
        <v>0</v>
      </c>
      <c r="M15" s="6">
        <f>[2]Oct!Y87</f>
        <v>0</v>
      </c>
      <c r="N15" s="8">
        <f>[2]Oct!AC87</f>
        <v>1050.58</v>
      </c>
      <c r="O15" s="8">
        <f>[2]Oct!AD87</f>
        <v>1042</v>
      </c>
      <c r="P15" s="8">
        <f>N15/(D15-(J15+K15))</f>
        <v>1.1608618784530387</v>
      </c>
      <c r="Q15" s="9">
        <f>[2]Oct!J87</f>
        <v>11671</v>
      </c>
      <c r="S15" s="10">
        <f>Q15/D15</f>
        <v>9.6295379537953796</v>
      </c>
      <c r="T15" s="11">
        <f>D15/C15</f>
        <v>46.615384615384613</v>
      </c>
    </row>
    <row r="16" spans="2:20" x14ac:dyDescent="0.2">
      <c r="B16" s="5" t="s">
        <v>31</v>
      </c>
      <c r="C16" s="6">
        <v>25</v>
      </c>
      <c r="D16" s="6">
        <f>[2]Nov!AF91</f>
        <v>1062</v>
      </c>
      <c r="E16" s="6">
        <f>SUM([2]Nov!K91:M91)</f>
        <v>439</v>
      </c>
      <c r="F16" s="6">
        <f>[2]Nov!K91</f>
        <v>125</v>
      </c>
      <c r="G16" s="6">
        <f>[2]Nov!L91</f>
        <v>258</v>
      </c>
      <c r="H16" s="6">
        <f>[2]Nov!M91</f>
        <v>56</v>
      </c>
      <c r="I16" s="6">
        <f>[2]Nov!N91</f>
        <v>331</v>
      </c>
      <c r="J16" s="6">
        <f>SUM([2]Nov!O91:P91)</f>
        <v>193</v>
      </c>
      <c r="K16" s="6">
        <f>SUM([2]Nov!Q91:W91)</f>
        <v>140</v>
      </c>
      <c r="L16" s="6">
        <f>[2]Nov!X91</f>
        <v>0</v>
      </c>
      <c r="M16" s="6"/>
      <c r="N16" s="8">
        <f>[2]Nov!AC91</f>
        <v>853.47000000000025</v>
      </c>
      <c r="O16" s="8">
        <f>[2]Nov!AD91</f>
        <v>869.65000000000043</v>
      </c>
      <c r="P16" s="8">
        <f>N16/(D16-(J16+K16))</f>
        <v>1.1707407407407411</v>
      </c>
      <c r="Q16" s="9">
        <f>[2]Nov!J91</f>
        <v>11910</v>
      </c>
      <c r="S16" s="10">
        <f>Q16/D16</f>
        <v>11.214689265536723</v>
      </c>
      <c r="T16" s="11">
        <f>D16/C16</f>
        <v>42.48</v>
      </c>
    </row>
    <row r="17" spans="2:20" x14ac:dyDescent="0.2">
      <c r="B17" s="5" t="s">
        <v>32</v>
      </c>
      <c r="C17" s="6">
        <v>25</v>
      </c>
      <c r="D17" s="6">
        <f>[2]Dec!AF90</f>
        <v>881</v>
      </c>
      <c r="E17" s="6">
        <f>SUM([2]Dec!K90:M90)</f>
        <v>396</v>
      </c>
      <c r="F17" s="6">
        <f>[2]Dec!K90</f>
        <v>113</v>
      </c>
      <c r="G17" s="6">
        <f>[2]Dec!L90</f>
        <v>225</v>
      </c>
      <c r="H17" s="6">
        <f>[2]Dec!M90</f>
        <v>58</v>
      </c>
      <c r="I17" s="6">
        <f>[2]Dec!N90</f>
        <v>271</v>
      </c>
      <c r="J17" s="6">
        <f>SUM([2]Dec!O90:P90)</f>
        <v>160</v>
      </c>
      <c r="K17" s="6">
        <f>SUM([2]Dec!Q90:W90)</f>
        <v>63</v>
      </c>
      <c r="L17" s="6">
        <f>[2]Dec!X90</f>
        <v>0</v>
      </c>
      <c r="M17" s="6">
        <f>[2]Dec!Y90</f>
        <v>0</v>
      </c>
      <c r="N17" s="8">
        <f>[2]Dec!AC90</f>
        <v>734.03</v>
      </c>
      <c r="O17" s="8">
        <f>[2]Dec!AD90</f>
        <v>743.10000000000025</v>
      </c>
      <c r="P17" s="8">
        <f>N17/(D17-(J17+K17))</f>
        <v>1.115547112462006</v>
      </c>
      <c r="Q17" s="9">
        <f>[2]Dec!J90</f>
        <v>11471</v>
      </c>
      <c r="S17" s="10">
        <f>Q17/D17</f>
        <v>13.020431328036322</v>
      </c>
      <c r="T17" s="11">
        <f>D17/C17</f>
        <v>35.24</v>
      </c>
    </row>
    <row r="18" spans="2:20" x14ac:dyDescent="0.2">
      <c r="B18" s="5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8"/>
      <c r="O18" s="8"/>
      <c r="P18" s="8"/>
      <c r="Q18" s="9"/>
      <c r="S18" s="10"/>
      <c r="T18" s="11"/>
    </row>
    <row r="19" spans="2:20" s="1" customFormat="1" x14ac:dyDescent="0.2">
      <c r="B19" s="12" t="s">
        <v>33</v>
      </c>
      <c r="C19" s="13">
        <f t="shared" ref="C19:O19" si="3">SUM(C6:C17)</f>
        <v>304</v>
      </c>
      <c r="D19" s="13">
        <f t="shared" si="3"/>
        <v>12102</v>
      </c>
      <c r="E19" s="13">
        <f t="shared" si="3"/>
        <v>4919</v>
      </c>
      <c r="F19" s="13">
        <f t="shared" si="3"/>
        <v>1237</v>
      </c>
      <c r="G19" s="13">
        <f t="shared" si="3"/>
        <v>2838</v>
      </c>
      <c r="H19" s="13">
        <f t="shared" si="3"/>
        <v>844</v>
      </c>
      <c r="I19" s="13">
        <f t="shared" si="3"/>
        <v>3562</v>
      </c>
      <c r="J19" s="13">
        <f t="shared" si="3"/>
        <v>1788</v>
      </c>
      <c r="K19" s="13">
        <f t="shared" si="3"/>
        <v>1115</v>
      </c>
      <c r="L19" s="13">
        <f t="shared" si="3"/>
        <v>28</v>
      </c>
      <c r="M19" s="13">
        <f t="shared" si="3"/>
        <v>0</v>
      </c>
      <c r="N19" s="14">
        <f t="shared" si="3"/>
        <v>9041.340000000002</v>
      </c>
      <c r="O19" s="14">
        <f t="shared" si="3"/>
        <v>9571.5500000000011</v>
      </c>
      <c r="P19" s="14"/>
      <c r="Q19" s="15">
        <f>SUM(Q6:Q17)</f>
        <v>131102</v>
      </c>
    </row>
    <row r="20" spans="2:20" s="1" customFormat="1" ht="16" thickBot="1" x14ac:dyDescent="0.25">
      <c r="B20" s="16" t="s">
        <v>34</v>
      </c>
      <c r="C20" s="17">
        <f t="shared" ref="C20:Q20" si="4">AVERAGE(C6:C17)</f>
        <v>25.333333333333332</v>
      </c>
      <c r="D20" s="17">
        <f t="shared" si="4"/>
        <v>1008.5</v>
      </c>
      <c r="E20" s="17">
        <f t="shared" si="4"/>
        <v>409.91666666666669</v>
      </c>
      <c r="F20" s="17">
        <f t="shared" si="4"/>
        <v>103.08333333333333</v>
      </c>
      <c r="G20" s="17">
        <f t="shared" si="4"/>
        <v>236.5</v>
      </c>
      <c r="H20" s="17">
        <f t="shared" si="4"/>
        <v>70.333333333333329</v>
      </c>
      <c r="I20" s="17">
        <f t="shared" si="4"/>
        <v>296.83333333333331</v>
      </c>
      <c r="J20" s="17">
        <f t="shared" si="4"/>
        <v>149</v>
      </c>
      <c r="K20" s="17">
        <f t="shared" si="4"/>
        <v>92.916666666666671</v>
      </c>
      <c r="L20" s="18">
        <f t="shared" si="4"/>
        <v>2.5454545454545454</v>
      </c>
      <c r="M20" s="19">
        <f t="shared" si="4"/>
        <v>0</v>
      </c>
      <c r="N20" s="20">
        <f t="shared" si="4"/>
        <v>753.44500000000016</v>
      </c>
      <c r="O20" s="20">
        <f t="shared" si="4"/>
        <v>797.62916666666672</v>
      </c>
      <c r="P20" s="20">
        <f t="shared" si="4"/>
        <v>0.97436625150910927</v>
      </c>
      <c r="Q20" s="21">
        <f t="shared" si="4"/>
        <v>10925.166666666666</v>
      </c>
      <c r="S20" s="22">
        <f>AVERAGE(S6:S19)</f>
        <v>11.14646893908168</v>
      </c>
      <c r="T20" s="22">
        <f>AVERAGE(T6:T19)</f>
        <v>39.661308683265212</v>
      </c>
    </row>
    <row r="22" spans="2:20" ht="80" x14ac:dyDescent="0.2">
      <c r="P22" s="46" t="s">
        <v>66</v>
      </c>
    </row>
    <row r="23" spans="2:20" x14ac:dyDescent="0.2">
      <c r="P23" s="45">
        <f>AVERAGE(P6:P12,P14:P17)</f>
        <v>1.0629450016463009</v>
      </c>
    </row>
  </sheetData>
  <mergeCells count="16">
    <mergeCell ref="Q4:Q5"/>
    <mergeCell ref="B2:Q2"/>
    <mergeCell ref="B3:Q3"/>
    <mergeCell ref="B4:B5"/>
    <mergeCell ref="C4:C5"/>
    <mergeCell ref="D4:D5"/>
    <mergeCell ref="E4:E5"/>
    <mergeCell ref="F4:H4"/>
    <mergeCell ref="I4:I5"/>
    <mergeCell ref="J4:J5"/>
    <mergeCell ref="K4:K5"/>
    <mergeCell ref="L4:L5"/>
    <mergeCell ref="M4:M5"/>
    <mergeCell ref="N4:N5"/>
    <mergeCell ref="O4:O5"/>
    <mergeCell ref="P4:P5"/>
  </mergeCells>
  <pageMargins left="0.7" right="0.7" top="0.75" bottom="0.75" header="0.3" footer="0.3"/>
  <pageSetup scale="77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0.59999389629810485"/>
    <pageSetUpPr fitToPage="1"/>
  </sheetPr>
  <dimension ref="B1:T31"/>
  <sheetViews>
    <sheetView workbookViewId="0">
      <selection activeCell="M6" sqref="M6"/>
    </sheetView>
  </sheetViews>
  <sheetFormatPr baseColWidth="10" defaultColWidth="8.83203125" defaultRowHeight="15" x14ac:dyDescent="0.2"/>
  <cols>
    <col min="1" max="1" width="3.5" customWidth="1"/>
    <col min="2" max="2" width="16.33203125" style="1" bestFit="1" customWidth="1"/>
    <col min="3" max="3" width="7.5" bestFit="1" customWidth="1"/>
    <col min="4" max="4" width="10.83203125" bestFit="1" customWidth="1"/>
    <col min="5" max="5" width="13.1640625" customWidth="1"/>
    <col min="6" max="6" width="8" bestFit="1" customWidth="1"/>
    <col min="7" max="7" width="7.5" bestFit="1" customWidth="1"/>
    <col min="8" max="8" width="4.83203125" bestFit="1" customWidth="1"/>
    <col min="9" max="9" width="5.6640625" bestFit="1" customWidth="1"/>
    <col min="10" max="10" width="10.1640625" bestFit="1" customWidth="1"/>
    <col min="11" max="11" width="13.6640625" bestFit="1" customWidth="1"/>
    <col min="12" max="13" width="10.5" bestFit="1" customWidth="1"/>
    <col min="14" max="15" width="10.1640625" style="2" bestFit="1" customWidth="1"/>
    <col min="16" max="16" width="9.1640625" style="2" customWidth="1"/>
    <col min="17" max="17" width="12.5" bestFit="1" customWidth="1"/>
    <col min="19" max="19" width="9.83203125" customWidth="1"/>
    <col min="20" max="20" width="10.6640625" customWidth="1"/>
  </cols>
  <sheetData>
    <row r="1" spans="2:20" ht="16" thickBot="1" x14ac:dyDescent="0.25"/>
    <row r="2" spans="2:20" x14ac:dyDescent="0.2">
      <c r="B2" s="68" t="s">
        <v>0</v>
      </c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70"/>
    </row>
    <row r="3" spans="2:20" s="1" customFormat="1" x14ac:dyDescent="0.2">
      <c r="B3" s="71" t="s">
        <v>37</v>
      </c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3"/>
    </row>
    <row r="4" spans="2:20" s="3" customFormat="1" ht="45" customHeight="1" x14ac:dyDescent="0.2">
      <c r="B4" s="74" t="s">
        <v>2</v>
      </c>
      <c r="C4" s="75" t="s">
        <v>3</v>
      </c>
      <c r="D4" s="75" t="s">
        <v>4</v>
      </c>
      <c r="E4" s="75" t="s">
        <v>5</v>
      </c>
      <c r="F4" s="75" t="s">
        <v>6</v>
      </c>
      <c r="G4" s="75"/>
      <c r="H4" s="75"/>
      <c r="I4" s="75" t="s">
        <v>7</v>
      </c>
      <c r="J4" s="75" t="s">
        <v>8</v>
      </c>
      <c r="K4" s="80" t="s">
        <v>65</v>
      </c>
      <c r="L4" s="75" t="s">
        <v>10</v>
      </c>
      <c r="M4" s="75" t="s">
        <v>11</v>
      </c>
      <c r="N4" s="76" t="s">
        <v>12</v>
      </c>
      <c r="O4" s="76" t="s">
        <v>13</v>
      </c>
      <c r="P4" s="76" t="s">
        <v>14</v>
      </c>
      <c r="Q4" s="77" t="s">
        <v>15</v>
      </c>
      <c r="S4" s="3" t="s">
        <v>16</v>
      </c>
      <c r="T4" s="3" t="s">
        <v>17</v>
      </c>
    </row>
    <row r="5" spans="2:20" s="3" customFormat="1" ht="16" x14ac:dyDescent="0.2">
      <c r="B5" s="74"/>
      <c r="C5" s="75"/>
      <c r="D5" s="75"/>
      <c r="E5" s="75"/>
      <c r="F5" s="4" t="s">
        <v>18</v>
      </c>
      <c r="G5" s="4" t="s">
        <v>19</v>
      </c>
      <c r="H5" s="4" t="s">
        <v>20</v>
      </c>
      <c r="I5" s="75"/>
      <c r="J5" s="75"/>
      <c r="K5" s="80"/>
      <c r="L5" s="75"/>
      <c r="M5" s="75"/>
      <c r="N5" s="76"/>
      <c r="O5" s="76"/>
      <c r="P5" s="76"/>
      <c r="Q5" s="77"/>
    </row>
    <row r="6" spans="2:20" x14ac:dyDescent="0.2">
      <c r="B6" s="5" t="s">
        <v>21</v>
      </c>
      <c r="C6" s="6">
        <v>23</v>
      </c>
      <c r="D6" s="7">
        <f>E6+I6+J6+K6+L6+M6</f>
        <v>538</v>
      </c>
      <c r="E6" s="6">
        <f>SUM(F6:H6)</f>
        <v>228</v>
      </c>
      <c r="F6" s="6">
        <f>24+22</f>
        <v>46</v>
      </c>
      <c r="G6" s="6">
        <f>44+64</f>
        <v>108</v>
      </c>
      <c r="H6" s="6">
        <f>44+30</f>
        <v>74</v>
      </c>
      <c r="I6" s="6">
        <f>134+109</f>
        <v>243</v>
      </c>
      <c r="J6" s="6">
        <f>16+8</f>
        <v>24</v>
      </c>
      <c r="K6" s="6">
        <f>22+21</f>
        <v>43</v>
      </c>
      <c r="L6" s="6">
        <v>0</v>
      </c>
      <c r="M6" s="6">
        <v>0</v>
      </c>
      <c r="N6" s="8">
        <v>643.5</v>
      </c>
      <c r="O6" s="8">
        <f>SUM(F6,G6,H6)*(0.85)+SUM(I6)*(1.5)</f>
        <v>558.29999999999995</v>
      </c>
      <c r="P6" s="8">
        <f>N6/(D6-(J6+K6))</f>
        <v>1.3662420382165605</v>
      </c>
      <c r="Q6" s="9">
        <v>9878</v>
      </c>
      <c r="S6" s="10">
        <f>Q6/D6</f>
        <v>18.360594795539033</v>
      </c>
      <c r="T6" s="11">
        <f>D6/C6</f>
        <v>23.391304347826086</v>
      </c>
    </row>
    <row r="7" spans="2:20" x14ac:dyDescent="0.2">
      <c r="B7" s="5" t="s">
        <v>22</v>
      </c>
      <c r="C7" s="6">
        <v>23</v>
      </c>
      <c r="D7" s="7">
        <f t="shared" ref="D7:D15" si="0">E7+I7+J7+K7+L7+M7</f>
        <v>474</v>
      </c>
      <c r="E7" s="6">
        <f t="shared" ref="E7:E15" si="1">SUM(F7:H7)</f>
        <v>185</v>
      </c>
      <c r="F7" s="6">
        <f>20+33</f>
        <v>53</v>
      </c>
      <c r="G7" s="6">
        <f>38+46</f>
        <v>84</v>
      </c>
      <c r="H7" s="6">
        <f>36+12</f>
        <v>48</v>
      </c>
      <c r="I7" s="6">
        <f>109+107</f>
        <v>216</v>
      </c>
      <c r="J7" s="6">
        <f>17+12</f>
        <v>29</v>
      </c>
      <c r="K7" s="6">
        <f>23+21</f>
        <v>44</v>
      </c>
      <c r="L7" s="6">
        <v>0</v>
      </c>
      <c r="M7" s="6">
        <v>0</v>
      </c>
      <c r="N7" s="8">
        <v>543.25</v>
      </c>
      <c r="O7" s="8">
        <f t="shared" ref="O7:O17" si="2">SUM(F7,G7,H7)*(0.85)+SUM(I7)*(1.5)</f>
        <v>481.25</v>
      </c>
      <c r="P7" s="8">
        <f t="shared" ref="P7:P15" si="3">N7/(D7-(J7+K7))</f>
        <v>1.3547381546134662</v>
      </c>
      <c r="Q7" s="9">
        <v>9195</v>
      </c>
      <c r="S7" s="10">
        <f t="shared" ref="S7:S17" si="4">Q7/D7</f>
        <v>19.398734177215189</v>
      </c>
      <c r="T7" s="11">
        <f t="shared" ref="T7:T17" si="5">D7/C7</f>
        <v>20.608695652173914</v>
      </c>
    </row>
    <row r="8" spans="2:20" x14ac:dyDescent="0.2">
      <c r="B8" s="5" t="s">
        <v>23</v>
      </c>
      <c r="C8" s="6">
        <v>27</v>
      </c>
      <c r="D8" s="7">
        <f t="shared" si="0"/>
        <v>718</v>
      </c>
      <c r="E8" s="6">
        <f t="shared" si="1"/>
        <v>295</v>
      </c>
      <c r="F8" s="6">
        <f>30+32</f>
        <v>62</v>
      </c>
      <c r="G8" s="6">
        <f>57+96</f>
        <v>153</v>
      </c>
      <c r="H8" s="6">
        <f>61+19</f>
        <v>80</v>
      </c>
      <c r="I8" s="6">
        <f>180+142</f>
        <v>322</v>
      </c>
      <c r="J8" s="6">
        <f>34+20</f>
        <v>54</v>
      </c>
      <c r="K8" s="6">
        <f>25+22</f>
        <v>47</v>
      </c>
      <c r="L8" s="6">
        <v>0</v>
      </c>
      <c r="M8" s="6">
        <v>0</v>
      </c>
      <c r="N8" s="8">
        <v>779</v>
      </c>
      <c r="O8" s="8">
        <f t="shared" si="2"/>
        <v>733.75</v>
      </c>
      <c r="P8" s="8">
        <f t="shared" si="3"/>
        <v>1.2625607779578607</v>
      </c>
      <c r="Q8" s="9">
        <v>11262</v>
      </c>
      <c r="S8" s="10">
        <f t="shared" si="4"/>
        <v>15.685236768802229</v>
      </c>
      <c r="T8" s="11">
        <f t="shared" si="5"/>
        <v>26.592592592592592</v>
      </c>
    </row>
    <row r="9" spans="2:20" x14ac:dyDescent="0.2">
      <c r="B9" s="5" t="s">
        <v>24</v>
      </c>
      <c r="C9" s="6">
        <v>27</v>
      </c>
      <c r="D9" s="7">
        <f t="shared" si="0"/>
        <v>808</v>
      </c>
      <c r="E9" s="6">
        <f t="shared" si="1"/>
        <v>359</v>
      </c>
      <c r="F9" s="6">
        <f>49+50</f>
        <v>99</v>
      </c>
      <c r="G9" s="6">
        <f>78+73</f>
        <v>151</v>
      </c>
      <c r="H9" s="6">
        <f>65+44</f>
        <v>109</v>
      </c>
      <c r="I9" s="6">
        <f>179+157</f>
        <v>336</v>
      </c>
      <c r="J9" s="6">
        <f>28+31</f>
        <v>59</v>
      </c>
      <c r="K9" s="6">
        <f>18+36</f>
        <v>54</v>
      </c>
      <c r="L9" s="6">
        <v>0</v>
      </c>
      <c r="M9" s="6">
        <v>0</v>
      </c>
      <c r="N9" s="8">
        <v>909</v>
      </c>
      <c r="O9" s="8">
        <f t="shared" si="2"/>
        <v>809.15</v>
      </c>
      <c r="P9" s="8">
        <f t="shared" si="3"/>
        <v>1.3079136690647482</v>
      </c>
      <c r="Q9" s="9">
        <v>11071</v>
      </c>
      <c r="S9" s="10">
        <f t="shared" si="4"/>
        <v>13.701732673267326</v>
      </c>
      <c r="T9" s="11">
        <f t="shared" si="5"/>
        <v>29.925925925925927</v>
      </c>
    </row>
    <row r="10" spans="2:20" x14ac:dyDescent="0.2">
      <c r="B10" s="5" t="s">
        <v>25</v>
      </c>
      <c r="C10" s="6">
        <v>26</v>
      </c>
      <c r="D10" s="7">
        <f t="shared" si="0"/>
        <v>709</v>
      </c>
      <c r="E10" s="6">
        <f t="shared" si="1"/>
        <v>298</v>
      </c>
      <c r="F10" s="6">
        <f>38+62</f>
        <v>100</v>
      </c>
      <c r="G10" s="6">
        <f>63+59</f>
        <v>122</v>
      </c>
      <c r="H10" s="6">
        <f>33+43</f>
        <v>76</v>
      </c>
      <c r="I10" s="6">
        <f>140+134</f>
        <v>274</v>
      </c>
      <c r="J10" s="6">
        <f>46+37</f>
        <v>83</v>
      </c>
      <c r="K10" s="6">
        <f>21+33</f>
        <v>54</v>
      </c>
      <c r="L10" s="6">
        <v>0</v>
      </c>
      <c r="M10" s="6">
        <v>0</v>
      </c>
      <c r="N10" s="8">
        <v>738</v>
      </c>
      <c r="O10" s="8">
        <f t="shared" si="2"/>
        <v>664.3</v>
      </c>
      <c r="P10" s="8">
        <f t="shared" si="3"/>
        <v>1.2902097902097902</v>
      </c>
      <c r="Q10" s="9">
        <v>10589</v>
      </c>
      <c r="S10" s="10">
        <f t="shared" si="4"/>
        <v>14.935119887165021</v>
      </c>
      <c r="T10" s="11">
        <f t="shared" si="5"/>
        <v>27.26923076923077</v>
      </c>
    </row>
    <row r="11" spans="2:20" x14ac:dyDescent="0.2">
      <c r="B11" s="5" t="s">
        <v>26</v>
      </c>
      <c r="C11" s="6">
        <v>25</v>
      </c>
      <c r="D11" s="7">
        <f t="shared" si="0"/>
        <v>853</v>
      </c>
      <c r="E11" s="6">
        <f t="shared" si="1"/>
        <v>310</v>
      </c>
      <c r="F11" s="6">
        <f>55+35</f>
        <v>90</v>
      </c>
      <c r="G11" s="6">
        <f>66+77</f>
        <v>143</v>
      </c>
      <c r="H11" s="6">
        <f>49+28</f>
        <v>77</v>
      </c>
      <c r="I11" s="6">
        <f>190+148</f>
        <v>338</v>
      </c>
      <c r="J11" s="6">
        <f>37+41</f>
        <v>78</v>
      </c>
      <c r="K11" s="6">
        <f>4+19+104</f>
        <v>127</v>
      </c>
      <c r="L11" s="6">
        <v>0</v>
      </c>
      <c r="M11" s="6">
        <v>0</v>
      </c>
      <c r="N11" s="8">
        <v>845</v>
      </c>
      <c r="O11" s="8">
        <f t="shared" si="2"/>
        <v>770.5</v>
      </c>
      <c r="P11" s="8">
        <f t="shared" si="3"/>
        <v>1.3040123456790123</v>
      </c>
      <c r="Q11" s="9">
        <v>11201</v>
      </c>
      <c r="S11" s="10">
        <f t="shared" si="4"/>
        <v>13.131301289566236</v>
      </c>
      <c r="T11" s="11">
        <f t="shared" si="5"/>
        <v>34.119999999999997</v>
      </c>
    </row>
    <row r="12" spans="2:20" x14ac:dyDescent="0.2">
      <c r="B12" s="5" t="s">
        <v>27</v>
      </c>
      <c r="C12" s="6">
        <v>23</v>
      </c>
      <c r="D12" s="7">
        <f t="shared" si="0"/>
        <v>843</v>
      </c>
      <c r="E12" s="6">
        <f t="shared" si="1"/>
        <v>321</v>
      </c>
      <c r="F12" s="6">
        <f>48+41</f>
        <v>89</v>
      </c>
      <c r="G12" s="6">
        <f>66+97</f>
        <v>163</v>
      </c>
      <c r="H12" s="6">
        <f>30+39</f>
        <v>69</v>
      </c>
      <c r="I12" s="6">
        <f>191+202</f>
        <v>393</v>
      </c>
      <c r="J12" s="6">
        <f>37+36</f>
        <v>73</v>
      </c>
      <c r="K12" s="6">
        <f>9+3+44</f>
        <v>56</v>
      </c>
      <c r="L12" s="6">
        <v>0</v>
      </c>
      <c r="M12" s="6">
        <v>0</v>
      </c>
      <c r="N12" s="8">
        <v>1035.5</v>
      </c>
      <c r="O12" s="8">
        <f t="shared" si="2"/>
        <v>862.34999999999991</v>
      </c>
      <c r="P12" s="8">
        <f t="shared" si="3"/>
        <v>1.4502801120448179</v>
      </c>
      <c r="Q12" s="9">
        <v>11311</v>
      </c>
      <c r="S12" s="10">
        <f t="shared" si="4"/>
        <v>13.41755634638197</v>
      </c>
      <c r="T12" s="11">
        <f t="shared" si="5"/>
        <v>36.652173913043477</v>
      </c>
    </row>
    <row r="13" spans="2:20" x14ac:dyDescent="0.2">
      <c r="B13" s="5" t="s">
        <v>38</v>
      </c>
      <c r="C13" s="6">
        <v>26</v>
      </c>
      <c r="D13" s="7">
        <f t="shared" si="0"/>
        <v>926</v>
      </c>
      <c r="E13" s="6">
        <f t="shared" si="1"/>
        <v>381</v>
      </c>
      <c r="F13" s="6">
        <f>48+45</f>
        <v>93</v>
      </c>
      <c r="G13" s="6">
        <f>103+115</f>
        <v>218</v>
      </c>
      <c r="H13" s="6">
        <f>30+40</f>
        <v>70</v>
      </c>
      <c r="I13" s="6">
        <f>214+201</f>
        <v>415</v>
      </c>
      <c r="J13" s="6">
        <f>48+42</f>
        <v>90</v>
      </c>
      <c r="K13" s="6">
        <f>1+3+36</f>
        <v>40</v>
      </c>
      <c r="L13" s="6">
        <v>0</v>
      </c>
      <c r="M13" s="6">
        <v>0</v>
      </c>
      <c r="N13" s="8">
        <v>1046</v>
      </c>
      <c r="O13" s="8">
        <f t="shared" si="2"/>
        <v>946.34999999999991</v>
      </c>
      <c r="P13" s="8">
        <f t="shared" si="3"/>
        <v>1.3140703517587939</v>
      </c>
      <c r="Q13" s="9">
        <v>11461</v>
      </c>
      <c r="S13" s="10">
        <f t="shared" si="4"/>
        <v>12.376889848812095</v>
      </c>
      <c r="T13" s="11">
        <f t="shared" si="5"/>
        <v>35.615384615384613</v>
      </c>
    </row>
    <row r="14" spans="2:20" x14ac:dyDescent="0.2">
      <c r="B14" s="5" t="s">
        <v>29</v>
      </c>
      <c r="C14" s="6">
        <v>25</v>
      </c>
      <c r="D14" s="7">
        <f t="shared" si="0"/>
        <v>1021</v>
      </c>
      <c r="E14" s="6">
        <f t="shared" si="1"/>
        <v>465</v>
      </c>
      <c r="F14" s="6">
        <f>109+91</f>
        <v>200</v>
      </c>
      <c r="G14" s="6">
        <f>97+127</f>
        <v>224</v>
      </c>
      <c r="H14" s="6">
        <f>20+21</f>
        <v>41</v>
      </c>
      <c r="I14" s="6">
        <f>190+190</f>
        <v>380</v>
      </c>
      <c r="J14" s="6">
        <f>59+71</f>
        <v>130</v>
      </c>
      <c r="K14" s="6">
        <f>1+45</f>
        <v>46</v>
      </c>
      <c r="L14" s="6">
        <v>0</v>
      </c>
      <c r="M14" s="6">
        <v>0</v>
      </c>
      <c r="N14" s="8">
        <v>1033.5</v>
      </c>
      <c r="O14" s="8">
        <f t="shared" si="2"/>
        <v>965.25</v>
      </c>
      <c r="P14" s="8">
        <f t="shared" si="3"/>
        <v>1.2230769230769232</v>
      </c>
      <c r="Q14" s="9">
        <v>10987</v>
      </c>
      <c r="S14" s="10">
        <f t="shared" si="4"/>
        <v>10.76101860920666</v>
      </c>
      <c r="T14" s="11">
        <f t="shared" si="5"/>
        <v>40.840000000000003</v>
      </c>
    </row>
    <row r="15" spans="2:20" x14ac:dyDescent="0.2">
      <c r="B15" s="5" t="s">
        <v>30</v>
      </c>
      <c r="C15" s="6">
        <v>26</v>
      </c>
      <c r="D15" s="7">
        <f t="shared" si="0"/>
        <v>1023</v>
      </c>
      <c r="E15" s="6">
        <f t="shared" si="1"/>
        <v>444</v>
      </c>
      <c r="F15" s="6">
        <f>82+52</f>
        <v>134</v>
      </c>
      <c r="G15" s="6">
        <f>125+135</f>
        <v>260</v>
      </c>
      <c r="H15" s="6">
        <f>27+23</f>
        <v>50</v>
      </c>
      <c r="I15" s="6">
        <f>155+186</f>
        <v>341</v>
      </c>
      <c r="J15" s="6">
        <f>89+75</f>
        <v>164</v>
      </c>
      <c r="K15" s="6">
        <f>34+40</f>
        <v>74</v>
      </c>
      <c r="L15" s="6">
        <v>0</v>
      </c>
      <c r="M15" s="6">
        <v>0</v>
      </c>
      <c r="N15" s="8">
        <v>974</v>
      </c>
      <c r="O15" s="8">
        <f t="shared" si="2"/>
        <v>888.9</v>
      </c>
      <c r="P15" s="8">
        <f t="shared" si="3"/>
        <v>1.240764331210191</v>
      </c>
      <c r="Q15" s="9">
        <v>10797</v>
      </c>
      <c r="S15" s="10">
        <f t="shared" si="4"/>
        <v>10.55425219941349</v>
      </c>
      <c r="T15" s="11">
        <f t="shared" si="5"/>
        <v>39.346153846153847</v>
      </c>
    </row>
    <row r="16" spans="2:20" x14ac:dyDescent="0.2">
      <c r="B16" s="5" t="s">
        <v>31</v>
      </c>
      <c r="C16" s="6">
        <v>24</v>
      </c>
      <c r="D16" s="7">
        <f>E16+I16+J16+K16+L16+M16</f>
        <v>981</v>
      </c>
      <c r="E16" s="6">
        <f>SUM(F16:H16)</f>
        <v>384</v>
      </c>
      <c r="F16" s="6">
        <f>64+50</f>
        <v>114</v>
      </c>
      <c r="G16" s="6">
        <f>112+98</f>
        <v>210</v>
      </c>
      <c r="H16" s="6">
        <f>33+27</f>
        <v>60</v>
      </c>
      <c r="I16" s="6">
        <f>163+112</f>
        <v>275</v>
      </c>
      <c r="J16" s="6">
        <f>108+88</f>
        <v>196</v>
      </c>
      <c r="K16" s="6">
        <f>41+85</f>
        <v>126</v>
      </c>
      <c r="L16" s="6">
        <v>0</v>
      </c>
      <c r="M16" s="6">
        <v>0</v>
      </c>
      <c r="N16" s="8">
        <v>830</v>
      </c>
      <c r="O16" s="8">
        <f t="shared" si="2"/>
        <v>738.9</v>
      </c>
      <c r="P16" s="8">
        <f>N16/(D16-(J16+K16))</f>
        <v>1.25948406676783</v>
      </c>
      <c r="Q16" s="9">
        <v>9831</v>
      </c>
      <c r="S16" s="10">
        <f t="shared" si="4"/>
        <v>10.021406727828746</v>
      </c>
      <c r="T16" s="11">
        <f t="shared" si="5"/>
        <v>40.875</v>
      </c>
    </row>
    <row r="17" spans="2:20" x14ac:dyDescent="0.2">
      <c r="B17" s="5" t="s">
        <v>32</v>
      </c>
      <c r="C17" s="6">
        <v>24</v>
      </c>
      <c r="D17" s="7">
        <f>E17+I17+J17+K17+L17+M17</f>
        <v>838</v>
      </c>
      <c r="E17" s="6">
        <f>SUM(F17:H17)</f>
        <v>379</v>
      </c>
      <c r="F17" s="6">
        <f>38+65</f>
        <v>103</v>
      </c>
      <c r="G17" s="6">
        <f>102+110</f>
        <v>212</v>
      </c>
      <c r="H17" s="6">
        <f>34+30</f>
        <v>64</v>
      </c>
      <c r="I17" s="6">
        <f>94+114</f>
        <v>208</v>
      </c>
      <c r="J17" s="6">
        <f>64+82</f>
        <v>146</v>
      </c>
      <c r="K17" s="6">
        <f>48+35+22</f>
        <v>105</v>
      </c>
      <c r="L17" s="6">
        <v>0</v>
      </c>
      <c r="M17" s="6">
        <v>0</v>
      </c>
      <c r="N17" s="8">
        <v>647</v>
      </c>
      <c r="O17" s="8">
        <f t="shared" si="2"/>
        <v>634.15</v>
      </c>
      <c r="P17" s="8">
        <f>N17/(D17-(J17+K17))</f>
        <v>1.10221465076661</v>
      </c>
      <c r="Q17" s="9">
        <f>'[3]Route 1'!$F$34+'[3]Route 2'!$F$34+'[3]Saturday Route'!$F$34</f>
        <v>9987</v>
      </c>
      <c r="S17" s="10">
        <f t="shared" si="4"/>
        <v>11.917661097852029</v>
      </c>
      <c r="T17" s="11">
        <f t="shared" si="5"/>
        <v>34.916666666666664</v>
      </c>
    </row>
    <row r="18" spans="2:20" x14ac:dyDescent="0.2">
      <c r="B18" s="5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8"/>
      <c r="O18" s="8"/>
      <c r="P18" s="8"/>
      <c r="Q18" s="9"/>
      <c r="S18" s="10"/>
      <c r="T18" s="11"/>
    </row>
    <row r="19" spans="2:20" s="1" customFormat="1" x14ac:dyDescent="0.2">
      <c r="B19" s="12" t="s">
        <v>33</v>
      </c>
      <c r="C19" s="13">
        <f t="shared" ref="C19:N19" si="6">SUM(C6:C17)</f>
        <v>299</v>
      </c>
      <c r="D19" s="13">
        <f t="shared" si="6"/>
        <v>9732</v>
      </c>
      <c r="E19" s="13">
        <f>SUM(E6:E17)</f>
        <v>4049</v>
      </c>
      <c r="F19" s="13">
        <f t="shared" si="6"/>
        <v>1183</v>
      </c>
      <c r="G19" s="13">
        <f t="shared" si="6"/>
        <v>2048</v>
      </c>
      <c r="H19" s="13">
        <f t="shared" si="6"/>
        <v>818</v>
      </c>
      <c r="I19" s="13">
        <f t="shared" si="6"/>
        <v>3741</v>
      </c>
      <c r="J19" s="13">
        <f t="shared" si="6"/>
        <v>1126</v>
      </c>
      <c r="K19" s="13">
        <f t="shared" si="6"/>
        <v>816</v>
      </c>
      <c r="L19" s="13">
        <f t="shared" si="6"/>
        <v>0</v>
      </c>
      <c r="M19" s="13">
        <f t="shared" si="6"/>
        <v>0</v>
      </c>
      <c r="N19" s="14">
        <f t="shared" si="6"/>
        <v>10023.75</v>
      </c>
      <c r="O19" s="14">
        <f>SUM(O6:O17)</f>
        <v>9053.15</v>
      </c>
      <c r="P19" s="14"/>
      <c r="Q19" s="15">
        <f>SUM(Q6:Q17)</f>
        <v>127570</v>
      </c>
    </row>
    <row r="20" spans="2:20" s="1" customFormat="1" ht="16" thickBot="1" x14ac:dyDescent="0.25">
      <c r="B20" s="16" t="s">
        <v>34</v>
      </c>
      <c r="C20" s="17">
        <f t="shared" ref="C20:Q20" si="7">AVERAGE(C6:C17)</f>
        <v>24.916666666666668</v>
      </c>
      <c r="D20" s="17">
        <f t="shared" si="7"/>
        <v>811</v>
      </c>
      <c r="E20" s="17">
        <f>AVERAGE(E6:E17)</f>
        <v>337.41666666666669</v>
      </c>
      <c r="F20" s="17">
        <f t="shared" si="7"/>
        <v>98.583333333333329</v>
      </c>
      <c r="G20" s="17">
        <f t="shared" si="7"/>
        <v>170.66666666666666</v>
      </c>
      <c r="H20" s="17">
        <f t="shared" si="7"/>
        <v>68.166666666666671</v>
      </c>
      <c r="I20" s="17">
        <f t="shared" si="7"/>
        <v>311.75</v>
      </c>
      <c r="J20" s="17">
        <f t="shared" si="7"/>
        <v>93.833333333333329</v>
      </c>
      <c r="K20" s="17">
        <f t="shared" si="7"/>
        <v>68</v>
      </c>
      <c r="L20" s="18">
        <f t="shared" si="7"/>
        <v>0</v>
      </c>
      <c r="M20" s="17">
        <f t="shared" si="7"/>
        <v>0</v>
      </c>
      <c r="N20" s="20">
        <f t="shared" si="7"/>
        <v>835.3125</v>
      </c>
      <c r="O20" s="20">
        <f>AVERAGE(O6:O17)</f>
        <v>754.42916666666667</v>
      </c>
      <c r="P20" s="20">
        <f>AVERAGE(P6:P17)</f>
        <v>1.2896306009472167</v>
      </c>
      <c r="Q20" s="21">
        <f t="shared" si="7"/>
        <v>10630.833333333334</v>
      </c>
      <c r="S20" s="22">
        <f>AVERAGE(S6:S17)</f>
        <v>13.68845870175417</v>
      </c>
      <c r="T20" s="22">
        <f>AVERAGE(T6:T17)</f>
        <v>32.512760694083163</v>
      </c>
    </row>
    <row r="24" spans="2:20" x14ac:dyDescent="0.2">
      <c r="B24" s="1" t="s">
        <v>40</v>
      </c>
      <c r="L24" s="27" t="s">
        <v>44</v>
      </c>
    </row>
    <row r="25" spans="2:20" x14ac:dyDescent="0.2">
      <c r="B25" s="1" t="s">
        <v>41</v>
      </c>
    </row>
    <row r="29" spans="2:20" x14ac:dyDescent="0.2">
      <c r="B29" s="1" t="s">
        <v>47</v>
      </c>
    </row>
    <row r="30" spans="2:20" x14ac:dyDescent="0.2">
      <c r="B30" s="28" t="s">
        <v>45</v>
      </c>
    </row>
    <row r="31" spans="2:20" x14ac:dyDescent="0.2">
      <c r="B31" s="28" t="s">
        <v>46</v>
      </c>
    </row>
  </sheetData>
  <mergeCells count="16">
    <mergeCell ref="Q4:Q5"/>
    <mergeCell ref="B2:Q2"/>
    <mergeCell ref="B3:Q3"/>
    <mergeCell ref="B4:B5"/>
    <mergeCell ref="C4:C5"/>
    <mergeCell ref="D4:D5"/>
    <mergeCell ref="E4:E5"/>
    <mergeCell ref="F4:H4"/>
    <mergeCell ref="I4:I5"/>
    <mergeCell ref="J4:J5"/>
    <mergeCell ref="K4:K5"/>
    <mergeCell ref="L4:L5"/>
    <mergeCell ref="M4:M5"/>
    <mergeCell ref="N4:N5"/>
    <mergeCell ref="O4:O5"/>
    <mergeCell ref="P4:P5"/>
  </mergeCells>
  <pageMargins left="0.7" right="0.7" top="0.75" bottom="0.75" header="0.3" footer="0.3"/>
  <pageSetup scale="77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 tint="0.39997558519241921"/>
    <pageSetUpPr fitToPage="1"/>
  </sheetPr>
  <dimension ref="B1:T23"/>
  <sheetViews>
    <sheetView workbookViewId="0">
      <selection activeCell="M18" sqref="M18"/>
    </sheetView>
  </sheetViews>
  <sheetFormatPr baseColWidth="10" defaultColWidth="8.83203125" defaultRowHeight="15" x14ac:dyDescent="0.2"/>
  <cols>
    <col min="1" max="1" width="3.5" customWidth="1"/>
    <col min="2" max="2" width="16.33203125" style="1" bestFit="1" customWidth="1"/>
    <col min="3" max="3" width="7.5" bestFit="1" customWidth="1"/>
    <col min="4" max="4" width="10.83203125" bestFit="1" customWidth="1"/>
    <col min="5" max="5" width="13.1640625" customWidth="1"/>
    <col min="6" max="6" width="8" bestFit="1" customWidth="1"/>
    <col min="7" max="7" width="7.5" bestFit="1" customWidth="1"/>
    <col min="8" max="8" width="4.83203125" bestFit="1" customWidth="1"/>
    <col min="9" max="9" width="5.6640625" bestFit="1" customWidth="1"/>
    <col min="10" max="10" width="10.1640625" bestFit="1" customWidth="1"/>
    <col min="11" max="11" width="13.6640625" bestFit="1" customWidth="1"/>
    <col min="12" max="13" width="10.5" bestFit="1" customWidth="1"/>
    <col min="14" max="15" width="10.1640625" style="2" bestFit="1" customWidth="1"/>
    <col min="16" max="16" width="9.1640625" style="2" customWidth="1"/>
    <col min="17" max="17" width="12.5" bestFit="1" customWidth="1"/>
    <col min="19" max="19" width="9.83203125" customWidth="1"/>
    <col min="20" max="20" width="10.6640625" customWidth="1"/>
  </cols>
  <sheetData>
    <row r="1" spans="2:20" ht="16" thickBot="1" x14ac:dyDescent="0.25"/>
    <row r="2" spans="2:20" x14ac:dyDescent="0.2">
      <c r="B2" s="68" t="s">
        <v>0</v>
      </c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70"/>
    </row>
    <row r="3" spans="2:20" s="1" customFormat="1" x14ac:dyDescent="0.2">
      <c r="B3" s="71" t="s">
        <v>42</v>
      </c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3"/>
    </row>
    <row r="4" spans="2:20" s="3" customFormat="1" ht="45" customHeight="1" x14ac:dyDescent="0.2">
      <c r="B4" s="74" t="s">
        <v>2</v>
      </c>
      <c r="C4" s="75" t="s">
        <v>3</v>
      </c>
      <c r="D4" s="75" t="s">
        <v>4</v>
      </c>
      <c r="E4" s="75" t="s">
        <v>5</v>
      </c>
      <c r="F4" s="75" t="s">
        <v>6</v>
      </c>
      <c r="G4" s="75"/>
      <c r="H4" s="75"/>
      <c r="I4" s="75" t="s">
        <v>7</v>
      </c>
      <c r="J4" s="75" t="s">
        <v>8</v>
      </c>
      <c r="K4" s="80" t="s">
        <v>39</v>
      </c>
      <c r="L4" s="75" t="s">
        <v>10</v>
      </c>
      <c r="M4" s="75" t="s">
        <v>11</v>
      </c>
      <c r="N4" s="76" t="s">
        <v>12</v>
      </c>
      <c r="O4" s="76" t="s">
        <v>13</v>
      </c>
      <c r="P4" s="76" t="s">
        <v>14</v>
      </c>
      <c r="Q4" s="77" t="s">
        <v>15</v>
      </c>
      <c r="S4" s="3" t="s">
        <v>16</v>
      </c>
      <c r="T4" s="3" t="s">
        <v>17</v>
      </c>
    </row>
    <row r="5" spans="2:20" s="3" customFormat="1" ht="16" x14ac:dyDescent="0.2">
      <c r="B5" s="74"/>
      <c r="C5" s="75"/>
      <c r="D5" s="75"/>
      <c r="E5" s="75"/>
      <c r="F5" s="4" t="s">
        <v>18</v>
      </c>
      <c r="G5" s="4" t="s">
        <v>19</v>
      </c>
      <c r="H5" s="4" t="s">
        <v>20</v>
      </c>
      <c r="I5" s="75"/>
      <c r="J5" s="75"/>
      <c r="K5" s="80"/>
      <c r="L5" s="75"/>
      <c r="M5" s="75"/>
      <c r="N5" s="76"/>
      <c r="O5" s="76"/>
      <c r="P5" s="76"/>
      <c r="Q5" s="77"/>
    </row>
    <row r="6" spans="2:20" x14ac:dyDescent="0.2">
      <c r="B6" s="5" t="s">
        <v>21</v>
      </c>
      <c r="C6" s="6">
        <v>25</v>
      </c>
      <c r="D6" s="7">
        <f>E6+I6+J6+K6+L6+M6</f>
        <v>1417</v>
      </c>
      <c r="E6" s="6">
        <f>SUM(F6:H6)</f>
        <v>585</v>
      </c>
      <c r="F6" s="6">
        <f>123+83+11</f>
        <v>217</v>
      </c>
      <c r="G6" s="6">
        <f>111+150+2</f>
        <v>263</v>
      </c>
      <c r="H6" s="6">
        <f>65+38+2</f>
        <v>105</v>
      </c>
      <c r="I6" s="6">
        <f>225+195+1</f>
        <v>421</v>
      </c>
      <c r="J6" s="6">
        <f>163+158+15</f>
        <v>336</v>
      </c>
      <c r="K6" s="6">
        <f>33+38+4</f>
        <v>75</v>
      </c>
      <c r="L6" s="6">
        <v>0</v>
      </c>
      <c r="M6" s="6">
        <v>0</v>
      </c>
      <c r="N6" s="8">
        <v>1147</v>
      </c>
      <c r="O6" s="8">
        <f>SUM(F6,G6,H6)*(0.85)+SUM(I6)*(1.5)</f>
        <v>1128.75</v>
      </c>
      <c r="P6" s="8">
        <f>N6/(D6-(J6+K6))</f>
        <v>1.1401590457256461</v>
      </c>
      <c r="Q6" s="9">
        <v>10978</v>
      </c>
      <c r="S6" s="10">
        <f>Q6/D6</f>
        <v>7.7473535638673257</v>
      </c>
      <c r="T6" s="11">
        <f>D6/C6</f>
        <v>56.68</v>
      </c>
    </row>
    <row r="7" spans="2:20" x14ac:dyDescent="0.2">
      <c r="B7" s="5" t="s">
        <v>22</v>
      </c>
      <c r="C7" s="6">
        <v>24</v>
      </c>
      <c r="D7" s="7">
        <f t="shared" ref="D7:D17" si="0">E7+I7+J7+K7+L7+M7</f>
        <v>1509</v>
      </c>
      <c r="E7" s="6">
        <f t="shared" ref="E7:E17" si="1">SUM(F7:H7)</f>
        <v>807</v>
      </c>
      <c r="F7" s="6">
        <f>97+121+9</f>
        <v>227</v>
      </c>
      <c r="G7" s="6">
        <f>84+117+21</f>
        <v>222</v>
      </c>
      <c r="H7" s="6">
        <f>147+208+3</f>
        <v>358</v>
      </c>
      <c r="I7" s="6">
        <f>147+208+25</f>
        <v>380</v>
      </c>
      <c r="J7" s="6">
        <f>107+127+17</f>
        <v>251</v>
      </c>
      <c r="K7" s="6">
        <f>29+40+2</f>
        <v>71</v>
      </c>
      <c r="L7" s="6">
        <v>0</v>
      </c>
      <c r="M7" s="6">
        <v>0</v>
      </c>
      <c r="N7" s="8">
        <v>1001.5</v>
      </c>
      <c r="O7" s="8">
        <f t="shared" ref="O7:O17" si="2">SUM(F7,G7,H7)*(0.85)+SUM(I7)*(1.5)</f>
        <v>1255.9499999999998</v>
      </c>
      <c r="P7" s="8">
        <f t="shared" ref="P7:P17" si="3">N7/(D7-(J7+K7))</f>
        <v>0.84372367312552654</v>
      </c>
      <c r="Q7" s="9">
        <v>10210</v>
      </c>
      <c r="S7" s="10">
        <f t="shared" ref="S7:S17" si="4">Q7/D7</f>
        <v>6.7660702451954933</v>
      </c>
      <c r="T7" s="11">
        <f t="shared" ref="T7:T17" si="5">D7/C7</f>
        <v>62.875</v>
      </c>
    </row>
    <row r="8" spans="2:20" x14ac:dyDescent="0.2">
      <c r="B8" s="5" t="s">
        <v>23</v>
      </c>
      <c r="C8" s="6">
        <v>26</v>
      </c>
      <c r="D8" s="29">
        <f t="shared" si="0"/>
        <v>1249</v>
      </c>
      <c r="E8" s="6">
        <f t="shared" si="1"/>
        <v>528</v>
      </c>
      <c r="F8" s="6">
        <f>104+108+6</f>
        <v>218</v>
      </c>
      <c r="G8" s="6">
        <f>98+125+23</f>
        <v>246</v>
      </c>
      <c r="H8" s="6">
        <f>40+24</f>
        <v>64</v>
      </c>
      <c r="I8" s="6">
        <f>181+267+13</f>
        <v>461</v>
      </c>
      <c r="J8" s="6">
        <f>68+96+10</f>
        <v>174</v>
      </c>
      <c r="K8" s="6">
        <f>37+49</f>
        <v>86</v>
      </c>
      <c r="L8" s="6">
        <v>0</v>
      </c>
      <c r="M8" s="6">
        <v>0</v>
      </c>
      <c r="N8" s="8">
        <v>1290.5</v>
      </c>
      <c r="O8" s="8">
        <f t="shared" si="2"/>
        <v>1140.3</v>
      </c>
      <c r="P8" s="8">
        <f t="shared" si="3"/>
        <v>1.3048533872598584</v>
      </c>
      <c r="Q8" s="9">
        <v>11558</v>
      </c>
      <c r="S8" s="10">
        <f t="shared" si="4"/>
        <v>9.2538030424339475</v>
      </c>
      <c r="T8" s="11">
        <f t="shared" si="5"/>
        <v>48.03846153846154</v>
      </c>
    </row>
    <row r="9" spans="2:20" x14ac:dyDescent="0.2">
      <c r="B9" s="5" t="s">
        <v>24</v>
      </c>
      <c r="C9" s="6">
        <v>26</v>
      </c>
      <c r="D9" s="7">
        <f t="shared" si="0"/>
        <v>662</v>
      </c>
      <c r="E9" s="6">
        <f t="shared" si="1"/>
        <v>271</v>
      </c>
      <c r="F9" s="6">
        <f>10+17</f>
        <v>27</v>
      </c>
      <c r="G9" s="6">
        <f>73+121+9</f>
        <v>203</v>
      </c>
      <c r="H9" s="6">
        <f>15+24+2</f>
        <v>41</v>
      </c>
      <c r="I9" s="6">
        <f>125+139+4</f>
        <v>268</v>
      </c>
      <c r="J9" s="6">
        <f>26+32+4</f>
        <v>62</v>
      </c>
      <c r="K9" s="6">
        <f>14+47</f>
        <v>61</v>
      </c>
      <c r="L9" s="6">
        <v>0</v>
      </c>
      <c r="M9" s="6">
        <v>0</v>
      </c>
      <c r="N9" s="8">
        <v>617</v>
      </c>
      <c r="O9" s="8">
        <f t="shared" si="2"/>
        <v>632.35</v>
      </c>
      <c r="P9" s="8">
        <f t="shared" si="3"/>
        <v>1.1447124304267162</v>
      </c>
      <c r="Q9" s="9">
        <v>11346</v>
      </c>
      <c r="S9" s="10">
        <f t="shared" si="4"/>
        <v>17.138972809667674</v>
      </c>
      <c r="T9" s="11">
        <f t="shared" si="5"/>
        <v>25.46153846153846</v>
      </c>
    </row>
    <row r="10" spans="2:20" x14ac:dyDescent="0.2">
      <c r="B10" s="5" t="s">
        <v>25</v>
      </c>
      <c r="C10" s="6">
        <v>25</v>
      </c>
      <c r="D10" s="7">
        <f t="shared" si="0"/>
        <v>769</v>
      </c>
      <c r="E10" s="6">
        <f t="shared" si="1"/>
        <v>280</v>
      </c>
      <c r="F10" s="6">
        <f>10+24+2</f>
        <v>36</v>
      </c>
      <c r="G10" s="6">
        <f>65+94+17</f>
        <v>176</v>
      </c>
      <c r="H10" s="6">
        <f>31+30+7</f>
        <v>68</v>
      </c>
      <c r="I10" s="6">
        <f>138+224+29</f>
        <v>391</v>
      </c>
      <c r="J10" s="6">
        <f>17+33+1</f>
        <v>51</v>
      </c>
      <c r="K10" s="6">
        <f>13+34</f>
        <v>47</v>
      </c>
      <c r="L10" s="6">
        <v>0</v>
      </c>
      <c r="M10" s="6">
        <v>0</v>
      </c>
      <c r="N10" s="8">
        <v>794</v>
      </c>
      <c r="O10" s="8">
        <f t="shared" si="2"/>
        <v>824.5</v>
      </c>
      <c r="P10" s="8">
        <f t="shared" si="3"/>
        <v>1.1833084947839045</v>
      </c>
      <c r="Q10" s="9">
        <v>10653</v>
      </c>
      <c r="S10" s="10">
        <f t="shared" si="4"/>
        <v>13.853055916775032</v>
      </c>
      <c r="T10" s="11">
        <f t="shared" si="5"/>
        <v>30.76</v>
      </c>
    </row>
    <row r="11" spans="2:20" x14ac:dyDescent="0.2">
      <c r="B11" s="5" t="s">
        <v>26</v>
      </c>
      <c r="C11" s="6">
        <v>26</v>
      </c>
      <c r="D11" s="7">
        <f t="shared" si="0"/>
        <v>946</v>
      </c>
      <c r="E11" s="6">
        <f t="shared" si="1"/>
        <v>396</v>
      </c>
      <c r="F11" s="6">
        <f>21+36</f>
        <v>57</v>
      </c>
      <c r="G11" s="6">
        <f>111+141+15</f>
        <v>267</v>
      </c>
      <c r="H11" s="6">
        <f>43+27+2</f>
        <v>72</v>
      </c>
      <c r="I11" s="6">
        <f>173+247+34</f>
        <v>454</v>
      </c>
      <c r="J11" s="6">
        <f>21+25+4</f>
        <v>50</v>
      </c>
      <c r="K11" s="6">
        <f>11+34+1</f>
        <v>46</v>
      </c>
      <c r="L11" s="6">
        <v>0</v>
      </c>
      <c r="M11" s="6">
        <v>0</v>
      </c>
      <c r="N11" s="8">
        <v>1084</v>
      </c>
      <c r="O11" s="8">
        <f t="shared" si="2"/>
        <v>1017.5999999999999</v>
      </c>
      <c r="P11" s="8">
        <f t="shared" si="3"/>
        <v>1.2752941176470589</v>
      </c>
      <c r="Q11" s="9">
        <v>11526</v>
      </c>
      <c r="S11" s="10">
        <f t="shared" si="4"/>
        <v>12.183932346723044</v>
      </c>
      <c r="T11" s="11">
        <f t="shared" si="5"/>
        <v>36.384615384615387</v>
      </c>
    </row>
    <row r="12" spans="2:20" x14ac:dyDescent="0.2">
      <c r="B12" s="5" t="s">
        <v>27</v>
      </c>
      <c r="C12" s="6">
        <v>26</v>
      </c>
      <c r="D12" s="7">
        <f t="shared" si="0"/>
        <v>798</v>
      </c>
      <c r="E12" s="6">
        <f t="shared" si="1"/>
        <v>386</v>
      </c>
      <c r="F12" s="6">
        <f>27+24+3</f>
        <v>54</v>
      </c>
      <c r="G12" s="6">
        <f>100+152+6</f>
        <v>258</v>
      </c>
      <c r="H12" s="6">
        <f>41+25+8</f>
        <v>74</v>
      </c>
      <c r="I12" s="6">
        <f>145+148+19</f>
        <v>312</v>
      </c>
      <c r="J12" s="6">
        <f>31+21+3</f>
        <v>55</v>
      </c>
      <c r="K12" s="6">
        <f>21+24</f>
        <v>45</v>
      </c>
      <c r="L12" s="6">
        <v>0</v>
      </c>
      <c r="M12" s="6">
        <v>0</v>
      </c>
      <c r="N12" s="8">
        <v>834</v>
      </c>
      <c r="O12" s="8">
        <f t="shared" si="2"/>
        <v>796.09999999999991</v>
      </c>
      <c r="P12" s="8">
        <f t="shared" si="3"/>
        <v>1.1948424068767909</v>
      </c>
      <c r="Q12" s="9">
        <v>11173</v>
      </c>
      <c r="S12" s="10">
        <f t="shared" si="4"/>
        <v>14.00125313283208</v>
      </c>
      <c r="T12" s="11">
        <f t="shared" si="5"/>
        <v>30.692307692307693</v>
      </c>
    </row>
    <row r="13" spans="2:20" x14ac:dyDescent="0.2">
      <c r="B13" s="5" t="s">
        <v>38</v>
      </c>
      <c r="C13" s="6">
        <v>26</v>
      </c>
      <c r="D13" s="7">
        <f t="shared" si="0"/>
        <v>863</v>
      </c>
      <c r="E13" s="6">
        <f t="shared" si="1"/>
        <v>372</v>
      </c>
      <c r="F13" s="6">
        <f>37+35+5</f>
        <v>77</v>
      </c>
      <c r="G13" s="6">
        <f>68+130+16</f>
        <v>214</v>
      </c>
      <c r="H13" s="6">
        <f>49+28+4</f>
        <v>81</v>
      </c>
      <c r="I13" s="6">
        <f>138+184+40</f>
        <v>362</v>
      </c>
      <c r="J13" s="6">
        <f>27+13+2</f>
        <v>42</v>
      </c>
      <c r="K13" s="6">
        <f>34+50+3</f>
        <v>87</v>
      </c>
      <c r="L13" s="6">
        <v>0</v>
      </c>
      <c r="M13" s="6">
        <v>0</v>
      </c>
      <c r="N13" s="8">
        <v>1094.5</v>
      </c>
      <c r="O13" s="8">
        <f t="shared" si="2"/>
        <v>859.2</v>
      </c>
      <c r="P13" s="8">
        <f t="shared" si="3"/>
        <v>1.4911444141689374</v>
      </c>
      <c r="Q13" s="9">
        <v>11072</v>
      </c>
      <c r="S13" s="10">
        <f t="shared" si="4"/>
        <v>12.829663962920046</v>
      </c>
      <c r="T13" s="11">
        <f t="shared" si="5"/>
        <v>33.192307692307693</v>
      </c>
    </row>
    <row r="14" spans="2:20" x14ac:dyDescent="0.2">
      <c r="B14" s="5" t="s">
        <v>29</v>
      </c>
      <c r="C14" s="6">
        <v>26</v>
      </c>
      <c r="D14" s="7">
        <f t="shared" si="0"/>
        <v>926</v>
      </c>
      <c r="E14" s="6">
        <f t="shared" si="1"/>
        <v>408</v>
      </c>
      <c r="F14" s="6">
        <f>63+57+7</f>
        <v>127</v>
      </c>
      <c r="G14" s="6">
        <f>79+99+7</f>
        <v>185</v>
      </c>
      <c r="H14" s="6">
        <f>65+27+4</f>
        <v>96</v>
      </c>
      <c r="I14" s="6">
        <f>191+144+17</f>
        <v>352</v>
      </c>
      <c r="J14" s="6">
        <f>50+34+1</f>
        <v>85</v>
      </c>
      <c r="K14" s="6">
        <f>22+51+7</f>
        <v>80</v>
      </c>
      <c r="L14" s="6">
        <v>1</v>
      </c>
      <c r="M14" s="6">
        <v>0</v>
      </c>
      <c r="N14" s="8">
        <v>926</v>
      </c>
      <c r="O14" s="8">
        <f t="shared" si="2"/>
        <v>874.8</v>
      </c>
      <c r="P14" s="8">
        <f t="shared" si="3"/>
        <v>1.216819973718791</v>
      </c>
      <c r="Q14" s="9">
        <v>10760</v>
      </c>
      <c r="S14" s="10">
        <f t="shared" si="4"/>
        <v>11.61987041036717</v>
      </c>
      <c r="T14" s="11">
        <f t="shared" si="5"/>
        <v>35.615384615384613</v>
      </c>
    </row>
    <row r="15" spans="2:20" x14ac:dyDescent="0.2">
      <c r="B15" s="5" t="s">
        <v>30</v>
      </c>
      <c r="C15" s="6">
        <v>27</v>
      </c>
      <c r="D15" s="7">
        <f t="shared" si="0"/>
        <v>911</v>
      </c>
      <c r="E15" s="6">
        <f t="shared" si="1"/>
        <v>363</v>
      </c>
      <c r="F15" s="6">
        <f>67+45+9</f>
        <v>121</v>
      </c>
      <c r="G15" s="6">
        <f>77+79+11</f>
        <v>167</v>
      </c>
      <c r="H15" s="6">
        <f>34+28+13</f>
        <v>75</v>
      </c>
      <c r="I15" s="6">
        <f>174+146+14</f>
        <v>334</v>
      </c>
      <c r="J15" s="6">
        <f>73+26</f>
        <v>99</v>
      </c>
      <c r="K15" s="6">
        <f>53+47+15</f>
        <v>115</v>
      </c>
      <c r="L15" s="6">
        <v>0</v>
      </c>
      <c r="M15" s="6">
        <v>0</v>
      </c>
      <c r="N15" s="8">
        <v>991</v>
      </c>
      <c r="O15" s="8">
        <f t="shared" si="2"/>
        <v>809.55</v>
      </c>
      <c r="P15" s="8">
        <f t="shared" si="3"/>
        <v>1.4218077474892397</v>
      </c>
      <c r="Q15" s="9">
        <v>11108</v>
      </c>
      <c r="S15" s="10">
        <f t="shared" si="4"/>
        <v>12.193194291986828</v>
      </c>
      <c r="T15" s="11">
        <f t="shared" si="5"/>
        <v>33.74074074074074</v>
      </c>
    </row>
    <row r="16" spans="2:20" x14ac:dyDescent="0.2">
      <c r="B16" s="5" t="s">
        <v>31</v>
      </c>
      <c r="C16" s="6">
        <v>23</v>
      </c>
      <c r="D16" s="7">
        <f t="shared" si="0"/>
        <v>673</v>
      </c>
      <c r="E16" s="6">
        <f t="shared" si="1"/>
        <v>262</v>
      </c>
      <c r="F16" s="6">
        <f>28+23+6</f>
        <v>57</v>
      </c>
      <c r="G16" s="6">
        <f>50+58+12</f>
        <v>120</v>
      </c>
      <c r="H16" s="6">
        <f>48+32+5</f>
        <v>85</v>
      </c>
      <c r="I16" s="6">
        <f>145+119+21</f>
        <v>285</v>
      </c>
      <c r="J16" s="6">
        <f>31+29+2</f>
        <v>62</v>
      </c>
      <c r="K16" s="6">
        <f>26+35+3</f>
        <v>64</v>
      </c>
      <c r="L16" s="6">
        <v>0</v>
      </c>
      <c r="M16" s="6">
        <v>0</v>
      </c>
      <c r="N16" s="8">
        <v>712</v>
      </c>
      <c r="O16" s="8">
        <f t="shared" si="2"/>
        <v>650.20000000000005</v>
      </c>
      <c r="P16" s="8">
        <f t="shared" si="3"/>
        <v>1.3016453382084094</v>
      </c>
      <c r="Q16" s="9">
        <v>9343</v>
      </c>
      <c r="S16" s="10">
        <f t="shared" si="4"/>
        <v>13.882615156017831</v>
      </c>
      <c r="T16" s="11">
        <f t="shared" si="5"/>
        <v>29.260869565217391</v>
      </c>
    </row>
    <row r="17" spans="2:20" x14ac:dyDescent="0.2">
      <c r="B17" s="5" t="s">
        <v>32</v>
      </c>
      <c r="C17" s="6">
        <v>26</v>
      </c>
      <c r="D17" s="7">
        <f t="shared" si="0"/>
        <v>563</v>
      </c>
      <c r="E17" s="6">
        <f t="shared" si="1"/>
        <v>202</v>
      </c>
      <c r="F17" s="6">
        <f>18+14+3</f>
        <v>35</v>
      </c>
      <c r="G17" s="6">
        <f>39+42+4</f>
        <v>85</v>
      </c>
      <c r="H17" s="6">
        <f>48+31+3</f>
        <v>82</v>
      </c>
      <c r="I17" s="6">
        <f>131+113+25</f>
        <v>269</v>
      </c>
      <c r="J17" s="6">
        <f>29+12</f>
        <v>41</v>
      </c>
      <c r="K17" s="6">
        <f>24+21+6</f>
        <v>51</v>
      </c>
      <c r="L17" s="6">
        <v>0</v>
      </c>
      <c r="M17" s="6">
        <v>0</v>
      </c>
      <c r="N17" s="8">
        <v>589</v>
      </c>
      <c r="O17" s="8">
        <f t="shared" si="2"/>
        <v>575.20000000000005</v>
      </c>
      <c r="P17" s="8">
        <f t="shared" si="3"/>
        <v>1.2505307855626326</v>
      </c>
      <c r="Q17" s="9">
        <v>10832</v>
      </c>
      <c r="S17" s="10">
        <f t="shared" si="4"/>
        <v>19.239786856127886</v>
      </c>
      <c r="T17" s="11">
        <f t="shared" si="5"/>
        <v>21.653846153846153</v>
      </c>
    </row>
    <row r="18" spans="2:20" x14ac:dyDescent="0.2">
      <c r="B18" s="5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8"/>
      <c r="O18" s="8"/>
      <c r="P18" s="8"/>
      <c r="Q18" s="9"/>
      <c r="S18" s="10"/>
      <c r="T18" s="11"/>
    </row>
    <row r="19" spans="2:20" s="1" customFormat="1" x14ac:dyDescent="0.2">
      <c r="B19" s="12" t="s">
        <v>33</v>
      </c>
      <c r="C19" s="13">
        <f t="shared" ref="C19:N19" si="6">SUM(C6:C17)</f>
        <v>306</v>
      </c>
      <c r="D19" s="13">
        <f t="shared" si="6"/>
        <v>11286</v>
      </c>
      <c r="E19" s="13">
        <f>SUM(E6:E17)</f>
        <v>4860</v>
      </c>
      <c r="F19" s="13">
        <f t="shared" si="6"/>
        <v>1253</v>
      </c>
      <c r="G19" s="13">
        <f t="shared" si="6"/>
        <v>2406</v>
      </c>
      <c r="H19" s="13">
        <f t="shared" si="6"/>
        <v>1201</v>
      </c>
      <c r="I19" s="13">
        <f t="shared" si="6"/>
        <v>4289</v>
      </c>
      <c r="J19" s="13">
        <f t="shared" si="6"/>
        <v>1308</v>
      </c>
      <c r="K19" s="13">
        <f t="shared" si="6"/>
        <v>828</v>
      </c>
      <c r="L19" s="13">
        <f t="shared" si="6"/>
        <v>1</v>
      </c>
      <c r="M19" s="13">
        <f t="shared" si="6"/>
        <v>0</v>
      </c>
      <c r="N19" s="14">
        <f t="shared" si="6"/>
        <v>11080.5</v>
      </c>
      <c r="O19" s="14">
        <f>SUM(O6:O17)</f>
        <v>10564.500000000002</v>
      </c>
      <c r="P19" s="14"/>
      <c r="Q19" s="15">
        <f>SUM(Q6:Q17)</f>
        <v>130559</v>
      </c>
    </row>
    <row r="20" spans="2:20" s="1" customFormat="1" ht="16" thickBot="1" x14ac:dyDescent="0.25">
      <c r="B20" s="16" t="s">
        <v>34</v>
      </c>
      <c r="C20" s="17">
        <f t="shared" ref="C20:Q20" si="7">AVERAGE(C6:C17)</f>
        <v>25.5</v>
      </c>
      <c r="D20" s="17">
        <f t="shared" si="7"/>
        <v>940.5</v>
      </c>
      <c r="E20" s="17">
        <f>AVERAGE(E6:E17)</f>
        <v>405</v>
      </c>
      <c r="F20" s="17">
        <f t="shared" si="7"/>
        <v>104.41666666666667</v>
      </c>
      <c r="G20" s="17">
        <f t="shared" si="7"/>
        <v>200.5</v>
      </c>
      <c r="H20" s="17">
        <f t="shared" si="7"/>
        <v>100.08333333333333</v>
      </c>
      <c r="I20" s="17">
        <f t="shared" si="7"/>
        <v>357.41666666666669</v>
      </c>
      <c r="J20" s="17">
        <f t="shared" si="7"/>
        <v>109</v>
      </c>
      <c r="K20" s="17">
        <f t="shared" si="7"/>
        <v>69</v>
      </c>
      <c r="L20" s="18">
        <f t="shared" si="7"/>
        <v>8.3333333333333329E-2</v>
      </c>
      <c r="M20" s="19">
        <f t="shared" si="7"/>
        <v>0</v>
      </c>
      <c r="N20" s="20">
        <f t="shared" si="7"/>
        <v>923.375</v>
      </c>
      <c r="O20" s="20">
        <f>AVERAGE(O6:O17)</f>
        <v>880.37500000000011</v>
      </c>
      <c r="P20" s="20">
        <f>AVERAGE(P6:P17)</f>
        <v>1.230736817916126</v>
      </c>
      <c r="Q20" s="21">
        <f t="shared" si="7"/>
        <v>10879.916666666666</v>
      </c>
      <c r="S20" s="22">
        <f>AVERAGE(S6:S17)</f>
        <v>12.559130977909531</v>
      </c>
      <c r="T20" s="22">
        <f>AVERAGE(T6:T17)</f>
        <v>37.029589320368309</v>
      </c>
    </row>
    <row r="23" spans="2:20" x14ac:dyDescent="0.2">
      <c r="D23" s="1" t="s">
        <v>48</v>
      </c>
    </row>
  </sheetData>
  <mergeCells count="16">
    <mergeCell ref="M4:M5"/>
    <mergeCell ref="Q4:Q5"/>
    <mergeCell ref="B2:Q2"/>
    <mergeCell ref="B3:Q3"/>
    <mergeCell ref="B4:B5"/>
    <mergeCell ref="C4:C5"/>
    <mergeCell ref="D4:D5"/>
    <mergeCell ref="E4:E5"/>
    <mergeCell ref="F4:H4"/>
    <mergeCell ref="I4:I5"/>
    <mergeCell ref="J4:J5"/>
    <mergeCell ref="L4:L5"/>
    <mergeCell ref="K4:K5"/>
    <mergeCell ref="N4:N5"/>
    <mergeCell ref="O4:O5"/>
    <mergeCell ref="P4:P5"/>
  </mergeCells>
  <pageMargins left="0.7" right="0.7" top="0.75" bottom="0.75" header="0.3" footer="0.3"/>
  <pageSetup scale="77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 tint="-0.249977111117893"/>
    <pageSetUpPr fitToPage="1"/>
  </sheetPr>
  <dimension ref="B1:T23"/>
  <sheetViews>
    <sheetView workbookViewId="0">
      <selection activeCell="M17" sqref="M17"/>
    </sheetView>
  </sheetViews>
  <sheetFormatPr baseColWidth="10" defaultColWidth="8.83203125" defaultRowHeight="15" x14ac:dyDescent="0.2"/>
  <cols>
    <col min="1" max="1" width="3.5" customWidth="1"/>
    <col min="2" max="2" width="16.33203125" style="1" bestFit="1" customWidth="1"/>
    <col min="3" max="3" width="7.5" bestFit="1" customWidth="1"/>
    <col min="4" max="4" width="10.83203125" bestFit="1" customWidth="1"/>
    <col min="5" max="5" width="13.1640625" customWidth="1"/>
    <col min="6" max="6" width="8" bestFit="1" customWidth="1"/>
    <col min="7" max="7" width="7.5" bestFit="1" customWidth="1"/>
    <col min="8" max="9" width="7.6640625" bestFit="1" customWidth="1"/>
    <col min="10" max="10" width="10.1640625" bestFit="1" customWidth="1"/>
    <col min="11" max="11" width="13.6640625" bestFit="1" customWidth="1"/>
    <col min="12" max="12" width="10.5" bestFit="1" customWidth="1"/>
    <col min="13" max="13" width="11" customWidth="1"/>
    <col min="14" max="15" width="10.1640625" style="2" bestFit="1" customWidth="1"/>
    <col min="16" max="16" width="9.1640625" style="2" customWidth="1"/>
    <col min="17" max="17" width="12.5" bestFit="1" customWidth="1"/>
    <col min="19" max="19" width="9.83203125" customWidth="1"/>
    <col min="20" max="20" width="10.6640625" customWidth="1"/>
  </cols>
  <sheetData>
    <row r="1" spans="2:20" ht="16" thickBot="1" x14ac:dyDescent="0.25"/>
    <row r="2" spans="2:20" x14ac:dyDescent="0.2">
      <c r="B2" s="68" t="s">
        <v>0</v>
      </c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70"/>
    </row>
    <row r="3" spans="2:20" s="1" customFormat="1" x14ac:dyDescent="0.2">
      <c r="B3" s="71" t="s">
        <v>43</v>
      </c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3"/>
    </row>
    <row r="4" spans="2:20" s="3" customFormat="1" ht="45" customHeight="1" x14ac:dyDescent="0.2">
      <c r="B4" s="74" t="s">
        <v>2</v>
      </c>
      <c r="C4" s="75" t="s">
        <v>3</v>
      </c>
      <c r="D4" s="75" t="s">
        <v>4</v>
      </c>
      <c r="E4" s="75" t="s">
        <v>5</v>
      </c>
      <c r="F4" s="75" t="s">
        <v>6</v>
      </c>
      <c r="G4" s="75"/>
      <c r="H4" s="75"/>
      <c r="I4" s="75" t="s">
        <v>7</v>
      </c>
      <c r="J4" s="75" t="s">
        <v>8</v>
      </c>
      <c r="K4" s="80" t="s">
        <v>39</v>
      </c>
      <c r="L4" s="75" t="s">
        <v>10</v>
      </c>
      <c r="M4" s="75" t="s">
        <v>64</v>
      </c>
      <c r="N4" s="76" t="s">
        <v>12</v>
      </c>
      <c r="O4" s="76" t="s">
        <v>13</v>
      </c>
      <c r="P4" s="76" t="s">
        <v>14</v>
      </c>
      <c r="Q4" s="77" t="s">
        <v>15</v>
      </c>
      <c r="S4" s="3" t="s">
        <v>16</v>
      </c>
      <c r="T4" s="3" t="s">
        <v>17</v>
      </c>
    </row>
    <row r="5" spans="2:20" s="3" customFormat="1" ht="16" x14ac:dyDescent="0.2">
      <c r="B5" s="74"/>
      <c r="C5" s="75"/>
      <c r="D5" s="75"/>
      <c r="E5" s="75"/>
      <c r="F5" s="4" t="s">
        <v>18</v>
      </c>
      <c r="G5" s="4" t="s">
        <v>19</v>
      </c>
      <c r="H5" s="4" t="s">
        <v>20</v>
      </c>
      <c r="I5" s="75"/>
      <c r="J5" s="75"/>
      <c r="K5" s="80"/>
      <c r="L5" s="75"/>
      <c r="M5" s="75"/>
      <c r="N5" s="76"/>
      <c r="O5" s="76"/>
      <c r="P5" s="76"/>
      <c r="Q5" s="77"/>
    </row>
    <row r="6" spans="2:20" x14ac:dyDescent="0.2">
      <c r="B6" s="5" t="s">
        <v>21</v>
      </c>
      <c r="C6" s="6">
        <v>25</v>
      </c>
      <c r="D6" s="7">
        <f>E6+I6+J6+K6+L6+M6</f>
        <v>1739</v>
      </c>
      <c r="E6" s="6">
        <f>SUM(F6:H6)</f>
        <v>748</v>
      </c>
      <c r="F6" s="6">
        <f>164+136+11</f>
        <v>311</v>
      </c>
      <c r="G6" s="6">
        <f>157+185+20</f>
        <v>362</v>
      </c>
      <c r="H6" s="6">
        <f>45+21+9</f>
        <v>75</v>
      </c>
      <c r="I6" s="6">
        <f>279+285+26</f>
        <v>590</v>
      </c>
      <c r="J6" s="6">
        <f>115+132+8</f>
        <v>255</v>
      </c>
      <c r="K6" s="6">
        <f>42+91+13</f>
        <v>146</v>
      </c>
      <c r="L6" s="6">
        <v>0</v>
      </c>
      <c r="M6" s="6">
        <v>0</v>
      </c>
      <c r="N6" s="8">
        <v>1613</v>
      </c>
      <c r="O6" s="8">
        <f>SUM(F6,G6,H6)*(0.85)+SUM(I6)*(1.5)</f>
        <v>1520.8</v>
      </c>
      <c r="P6" s="8">
        <f>N6/(D6-(J6+K6))</f>
        <v>1.2055306427503736</v>
      </c>
      <c r="Q6" s="9">
        <v>10895</v>
      </c>
      <c r="S6" s="10">
        <f>Q6/D6</f>
        <v>6.2650948821161583</v>
      </c>
      <c r="T6" s="11">
        <f>D6/C6</f>
        <v>69.56</v>
      </c>
    </row>
    <row r="7" spans="2:20" x14ac:dyDescent="0.2">
      <c r="B7" s="5" t="s">
        <v>22</v>
      </c>
      <c r="C7" s="6">
        <v>23</v>
      </c>
      <c r="D7" s="7">
        <f>E7+I7+J7+K7+L7+M7</f>
        <v>1541</v>
      </c>
      <c r="E7" s="6">
        <f t="shared" ref="E7:E17" si="0">SUM(F7:H7)</f>
        <v>717</v>
      </c>
      <c r="F7" s="6">
        <f>174+120+11</f>
        <v>305</v>
      </c>
      <c r="G7" s="6">
        <f>144+183+14</f>
        <v>341</v>
      </c>
      <c r="H7" s="6">
        <f>48+17+6</f>
        <v>71</v>
      </c>
      <c r="I7" s="6">
        <f>209+198+26</f>
        <v>433</v>
      </c>
      <c r="J7" s="6">
        <f>150+125+5</f>
        <v>280</v>
      </c>
      <c r="K7" s="6">
        <f>31+74+6</f>
        <v>111</v>
      </c>
      <c r="L7" s="6">
        <v>0</v>
      </c>
      <c r="M7" s="6">
        <v>0</v>
      </c>
      <c r="N7" s="8">
        <v>1369.5</v>
      </c>
      <c r="O7" s="8">
        <f t="shared" ref="O7:O17" si="1">SUM(F7,G7,H7)*(0.85)+SUM(I7)*(1.5)</f>
        <v>1258.9499999999998</v>
      </c>
      <c r="P7" s="8">
        <f t="shared" ref="P7:P16" si="2">N7/(D7-(J7+K7))</f>
        <v>1.1908695652173913</v>
      </c>
      <c r="Q7" s="9">
        <v>9810</v>
      </c>
      <c r="S7" s="10">
        <f t="shared" ref="S7:S17" si="3">Q7/D7</f>
        <v>6.3659961064243999</v>
      </c>
      <c r="T7" s="11">
        <f t="shared" ref="T7:T17" si="4">D7/C7</f>
        <v>67</v>
      </c>
    </row>
    <row r="8" spans="2:20" x14ac:dyDescent="0.2">
      <c r="B8" s="5" t="s">
        <v>23</v>
      </c>
      <c r="C8" s="6">
        <v>26</v>
      </c>
      <c r="D8" s="7">
        <f t="shared" ref="D8:D16" si="5">E8+I8+J8+K8+L8+M8</f>
        <v>1536</v>
      </c>
      <c r="E8" s="6">
        <f t="shared" si="0"/>
        <v>682</v>
      </c>
      <c r="F8" s="6">
        <f>128+115+26</f>
        <v>269</v>
      </c>
      <c r="G8" s="6">
        <f>132+192+15</f>
        <v>339</v>
      </c>
      <c r="H8" s="6">
        <f>49+21+4</f>
        <v>74</v>
      </c>
      <c r="I8" s="6">
        <f>256+206+29</f>
        <v>491</v>
      </c>
      <c r="J8" s="6">
        <f>135+116+22</f>
        <v>273</v>
      </c>
      <c r="K8" s="6">
        <f>46+38+6</f>
        <v>90</v>
      </c>
      <c r="L8" s="6">
        <v>0</v>
      </c>
      <c r="M8" s="6">
        <v>0</v>
      </c>
      <c r="N8" s="8">
        <v>1392.02</v>
      </c>
      <c r="O8" s="8">
        <f t="shared" si="1"/>
        <v>1316.1999999999998</v>
      </c>
      <c r="P8" s="8">
        <f t="shared" si="2"/>
        <v>1.1867178175618074</v>
      </c>
      <c r="Q8" s="9">
        <v>10440</v>
      </c>
      <c r="S8" s="10">
        <f t="shared" si="3"/>
        <v>6.796875</v>
      </c>
      <c r="T8" s="11">
        <f t="shared" si="4"/>
        <v>59.07692307692308</v>
      </c>
    </row>
    <row r="9" spans="2:20" x14ac:dyDescent="0.2">
      <c r="B9" s="5" t="s">
        <v>24</v>
      </c>
      <c r="C9" s="6">
        <v>26</v>
      </c>
      <c r="D9" s="7">
        <f t="shared" si="5"/>
        <v>1715</v>
      </c>
      <c r="E9" s="6">
        <f t="shared" si="0"/>
        <v>837</v>
      </c>
      <c r="F9" s="6">
        <f>187+147+23</f>
        <v>357</v>
      </c>
      <c r="G9" s="6">
        <f>159+202+24</f>
        <v>385</v>
      </c>
      <c r="H9" s="6">
        <f>45+40+10</f>
        <v>95</v>
      </c>
      <c r="I9" s="6">
        <f>262+242+29</f>
        <v>533</v>
      </c>
      <c r="J9" s="6">
        <f>203+22+25</f>
        <v>250</v>
      </c>
      <c r="K9" s="6">
        <f>43+43+9</f>
        <v>95</v>
      </c>
      <c r="L9" s="6">
        <v>0</v>
      </c>
      <c r="M9" s="6">
        <v>0</v>
      </c>
      <c r="N9" s="8">
        <v>1722</v>
      </c>
      <c r="O9" s="8">
        <f t="shared" si="1"/>
        <v>1510.9499999999998</v>
      </c>
      <c r="P9" s="8">
        <f t="shared" si="2"/>
        <v>1.256934306569343</v>
      </c>
      <c r="Q9" s="9">
        <v>11203</v>
      </c>
      <c r="S9" s="10">
        <f t="shared" si="3"/>
        <v>6.5323615160349853</v>
      </c>
      <c r="T9" s="11">
        <f t="shared" si="4"/>
        <v>65.961538461538467</v>
      </c>
    </row>
    <row r="10" spans="2:20" x14ac:dyDescent="0.2">
      <c r="B10" s="5" t="s">
        <v>25</v>
      </c>
      <c r="C10" s="6">
        <v>26</v>
      </c>
      <c r="D10" s="7">
        <f t="shared" si="5"/>
        <v>1892</v>
      </c>
      <c r="E10" s="6">
        <f t="shared" si="0"/>
        <v>885</v>
      </c>
      <c r="F10" s="6">
        <f>170+165+24</f>
        <v>359</v>
      </c>
      <c r="G10" s="6">
        <f>176+193+23</f>
        <v>392</v>
      </c>
      <c r="H10" s="6">
        <f>69+45+20</f>
        <v>134</v>
      </c>
      <c r="I10" s="6">
        <f>288+231+33</f>
        <v>552</v>
      </c>
      <c r="J10" s="6">
        <f>166+145+17</f>
        <v>328</v>
      </c>
      <c r="K10" s="6">
        <f>55+61+11</f>
        <v>127</v>
      </c>
      <c r="L10" s="6">
        <v>0</v>
      </c>
      <c r="M10" s="6">
        <v>0</v>
      </c>
      <c r="N10" s="8">
        <v>1694</v>
      </c>
      <c r="O10" s="8">
        <f t="shared" si="1"/>
        <v>1580.25</v>
      </c>
      <c r="P10" s="8">
        <f t="shared" si="2"/>
        <v>1.1788448155880307</v>
      </c>
      <c r="Q10" s="9">
        <v>11017</v>
      </c>
      <c r="S10" s="10">
        <f t="shared" si="3"/>
        <v>5.822938689217759</v>
      </c>
      <c r="T10" s="11">
        <f t="shared" si="4"/>
        <v>72.769230769230774</v>
      </c>
    </row>
    <row r="11" spans="2:20" x14ac:dyDescent="0.2">
      <c r="B11" s="5" t="s">
        <v>26</v>
      </c>
      <c r="C11" s="6">
        <v>25</v>
      </c>
      <c r="D11" s="7">
        <f t="shared" si="5"/>
        <v>1445</v>
      </c>
      <c r="E11" s="6">
        <f t="shared" si="0"/>
        <v>645</v>
      </c>
      <c r="F11" s="6">
        <f>89+75+22</f>
        <v>186</v>
      </c>
      <c r="G11" s="6">
        <f>143+148+22</f>
        <v>313</v>
      </c>
      <c r="H11" s="6">
        <f>59+71+16</f>
        <v>146</v>
      </c>
      <c r="I11" s="6">
        <f>211+208+27</f>
        <v>446</v>
      </c>
      <c r="J11" s="6">
        <f>111+95+26</f>
        <v>232</v>
      </c>
      <c r="K11" s="6">
        <f>56+59+7</f>
        <v>122</v>
      </c>
      <c r="L11" s="6">
        <v>0</v>
      </c>
      <c r="M11" s="6">
        <v>0</v>
      </c>
      <c r="N11" s="8">
        <v>1377</v>
      </c>
      <c r="O11" s="8">
        <f t="shared" si="1"/>
        <v>1217.25</v>
      </c>
      <c r="P11" s="8">
        <f t="shared" si="2"/>
        <v>1.2621448212648947</v>
      </c>
      <c r="Q11" s="9">
        <v>10339</v>
      </c>
      <c r="S11" s="10">
        <f t="shared" si="3"/>
        <v>7.155017301038062</v>
      </c>
      <c r="T11" s="11">
        <f t="shared" si="4"/>
        <v>57.8</v>
      </c>
    </row>
    <row r="12" spans="2:20" x14ac:dyDescent="0.2">
      <c r="B12" s="5" t="s">
        <v>27</v>
      </c>
      <c r="C12" s="6">
        <v>26</v>
      </c>
      <c r="D12" s="7">
        <f t="shared" si="5"/>
        <v>1637</v>
      </c>
      <c r="E12" s="6">
        <f t="shared" si="0"/>
        <v>795</v>
      </c>
      <c r="F12" s="6">
        <f>101+137+10</f>
        <v>248</v>
      </c>
      <c r="G12" s="6">
        <f>116+216+13</f>
        <v>345</v>
      </c>
      <c r="H12" s="6">
        <f>83+104+15</f>
        <v>202</v>
      </c>
      <c r="I12" s="6">
        <f>210+231+17</f>
        <v>458</v>
      </c>
      <c r="J12" s="6">
        <f>92+115+15</f>
        <v>222</v>
      </c>
      <c r="K12" s="6">
        <f>90+67+5</f>
        <v>162</v>
      </c>
      <c r="L12" s="6">
        <v>0</v>
      </c>
      <c r="M12" s="6">
        <v>0</v>
      </c>
      <c r="N12" s="8">
        <v>1594.5</v>
      </c>
      <c r="O12" s="8">
        <f t="shared" si="1"/>
        <v>1362.75</v>
      </c>
      <c r="P12" s="8">
        <f t="shared" si="2"/>
        <v>1.2725458898643256</v>
      </c>
      <c r="Q12" s="9">
        <v>11620</v>
      </c>
      <c r="S12" s="10">
        <f t="shared" si="3"/>
        <v>7.0983506414172268</v>
      </c>
      <c r="T12" s="11">
        <f t="shared" si="4"/>
        <v>62.96153846153846</v>
      </c>
    </row>
    <row r="13" spans="2:20" x14ac:dyDescent="0.2">
      <c r="B13" s="5" t="s">
        <v>38</v>
      </c>
      <c r="C13" s="6">
        <v>27</v>
      </c>
      <c r="D13" s="7">
        <f t="shared" si="5"/>
        <v>1615</v>
      </c>
      <c r="E13" s="6">
        <f t="shared" si="0"/>
        <v>779</v>
      </c>
      <c r="F13" s="6">
        <f>139+96+21</f>
        <v>256</v>
      </c>
      <c r="G13" s="6">
        <f>145+178+12</f>
        <v>335</v>
      </c>
      <c r="H13" s="6">
        <f>101+69+18</f>
        <v>188</v>
      </c>
      <c r="I13" s="6">
        <f>211+162+20</f>
        <v>393</v>
      </c>
      <c r="J13" s="6">
        <f>162+116+15</f>
        <v>293</v>
      </c>
      <c r="K13" s="6">
        <f>75+63+12</f>
        <v>150</v>
      </c>
      <c r="L13" s="6">
        <v>0</v>
      </c>
      <c r="M13" s="6">
        <v>0</v>
      </c>
      <c r="N13" s="8">
        <v>1340.5</v>
      </c>
      <c r="O13" s="8">
        <f t="shared" si="1"/>
        <v>1251.6500000000001</v>
      </c>
      <c r="P13" s="8">
        <f t="shared" si="2"/>
        <v>1.1437713310580204</v>
      </c>
      <c r="Q13" s="9">
        <v>10847</v>
      </c>
      <c r="S13" s="10">
        <f t="shared" si="3"/>
        <v>6.7164086687306499</v>
      </c>
      <c r="T13" s="11">
        <f t="shared" si="4"/>
        <v>59.814814814814817</v>
      </c>
    </row>
    <row r="14" spans="2:20" x14ac:dyDescent="0.2">
      <c r="B14" s="5" t="s">
        <v>29</v>
      </c>
      <c r="C14" s="6">
        <v>24</v>
      </c>
      <c r="D14" s="7">
        <f t="shared" si="5"/>
        <v>1958</v>
      </c>
      <c r="E14" s="6">
        <f t="shared" si="0"/>
        <v>885</v>
      </c>
      <c r="F14" s="6">
        <f>150+130+12</f>
        <v>292</v>
      </c>
      <c r="G14" s="6">
        <f>167+244+20</f>
        <v>431</v>
      </c>
      <c r="H14" s="6">
        <f>73+68+21</f>
        <v>162</v>
      </c>
      <c r="I14" s="6">
        <f>188+197+13</f>
        <v>398</v>
      </c>
      <c r="J14" s="6">
        <f>232+240+17</f>
        <v>489</v>
      </c>
      <c r="K14" s="6">
        <f>79+100+7</f>
        <v>186</v>
      </c>
      <c r="L14" s="6">
        <v>0</v>
      </c>
      <c r="M14" s="6">
        <v>0</v>
      </c>
      <c r="N14" s="8">
        <v>1575</v>
      </c>
      <c r="O14" s="8">
        <f t="shared" si="1"/>
        <v>1349.25</v>
      </c>
      <c r="P14" s="8">
        <f t="shared" si="2"/>
        <v>1.2275915822291503</v>
      </c>
      <c r="Q14" s="9">
        <v>10727</v>
      </c>
      <c r="S14" s="10">
        <f t="shared" si="3"/>
        <v>5.4785495403472932</v>
      </c>
      <c r="T14" s="11">
        <f t="shared" si="4"/>
        <v>81.583333333333329</v>
      </c>
    </row>
    <row r="15" spans="2:20" x14ac:dyDescent="0.2">
      <c r="B15" s="5" t="s">
        <v>30</v>
      </c>
      <c r="C15" s="6">
        <v>27</v>
      </c>
      <c r="D15" s="7">
        <f t="shared" si="5"/>
        <v>1677</v>
      </c>
      <c r="E15" s="6">
        <f t="shared" si="0"/>
        <v>752</v>
      </c>
      <c r="F15" s="6">
        <f>116+147+14</f>
        <v>277</v>
      </c>
      <c r="G15" s="6">
        <f>151+183+17</f>
        <v>351</v>
      </c>
      <c r="H15" s="6">
        <f>65+42+17</f>
        <v>124</v>
      </c>
      <c r="I15" s="6">
        <f>178+173+19</f>
        <v>370</v>
      </c>
      <c r="J15" s="6">
        <f>205+182+13</f>
        <v>400</v>
      </c>
      <c r="K15" s="6">
        <f>64+76+15</f>
        <v>155</v>
      </c>
      <c r="L15" s="6">
        <v>0</v>
      </c>
      <c r="M15" s="6">
        <v>0</v>
      </c>
      <c r="N15" s="8">
        <v>1365</v>
      </c>
      <c r="O15" s="8">
        <f t="shared" si="1"/>
        <v>1194.1999999999998</v>
      </c>
      <c r="P15" s="8">
        <f t="shared" si="2"/>
        <v>1.2165775401069518</v>
      </c>
      <c r="Q15" s="9">
        <v>11427</v>
      </c>
      <c r="S15" s="10">
        <f t="shared" si="3"/>
        <v>6.8139534883720927</v>
      </c>
      <c r="T15" s="11">
        <f t="shared" si="4"/>
        <v>62.111111111111114</v>
      </c>
    </row>
    <row r="16" spans="2:20" x14ac:dyDescent="0.2">
      <c r="B16" s="5" t="s">
        <v>31</v>
      </c>
      <c r="C16" s="6">
        <v>24</v>
      </c>
      <c r="D16" s="7">
        <f t="shared" si="5"/>
        <v>1401</v>
      </c>
      <c r="E16" s="6">
        <f t="shared" si="0"/>
        <v>648</v>
      </c>
      <c r="F16" s="6">
        <f>112+148+17</f>
        <v>277</v>
      </c>
      <c r="G16" s="6">
        <f>112+148+25</f>
        <v>285</v>
      </c>
      <c r="H16" s="6">
        <f>40+39+7</f>
        <v>86</v>
      </c>
      <c r="I16" s="6">
        <f>164+143+24</f>
        <v>331</v>
      </c>
      <c r="J16" s="6">
        <f>154+153+12</f>
        <v>319</v>
      </c>
      <c r="K16" s="6">
        <f>29+67+7</f>
        <v>103</v>
      </c>
      <c r="L16" s="6">
        <v>0</v>
      </c>
      <c r="M16" s="6">
        <v>0</v>
      </c>
      <c r="N16" s="8">
        <v>1125.5</v>
      </c>
      <c r="O16" s="8">
        <f>SUM(F16,G16,H16)*(0.85)+SUM(I16)*(1.5)</f>
        <v>1047.3</v>
      </c>
      <c r="P16" s="8">
        <f t="shared" si="2"/>
        <v>1.1496424923391215</v>
      </c>
      <c r="Q16" s="9">
        <v>9520</v>
      </c>
      <c r="S16" s="10">
        <f t="shared" si="3"/>
        <v>6.7951463240542473</v>
      </c>
      <c r="T16" s="11">
        <f t="shared" si="4"/>
        <v>58.375</v>
      </c>
    </row>
    <row r="17" spans="2:20" x14ac:dyDescent="0.2">
      <c r="B17" s="5" t="s">
        <v>32</v>
      </c>
      <c r="C17" s="6">
        <v>25</v>
      </c>
      <c r="D17" s="7">
        <v>1363</v>
      </c>
      <c r="E17" s="6">
        <f t="shared" si="0"/>
        <v>0</v>
      </c>
      <c r="F17" s="6"/>
      <c r="G17" s="6"/>
      <c r="H17" s="6"/>
      <c r="I17" s="6"/>
      <c r="J17" s="6"/>
      <c r="K17" s="6"/>
      <c r="L17" s="6"/>
      <c r="M17" s="6"/>
      <c r="N17" s="8">
        <v>1225</v>
      </c>
      <c r="O17" s="8">
        <f t="shared" si="1"/>
        <v>0</v>
      </c>
      <c r="P17" s="8"/>
      <c r="Q17" s="9">
        <v>10566</v>
      </c>
      <c r="S17" s="10">
        <f t="shared" si="3"/>
        <v>7.7520176082171677</v>
      </c>
      <c r="T17" s="11">
        <f t="shared" si="4"/>
        <v>54.52</v>
      </c>
    </row>
    <row r="18" spans="2:20" x14ac:dyDescent="0.2">
      <c r="B18" s="5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8"/>
      <c r="O18" s="8"/>
      <c r="P18" s="8"/>
      <c r="Q18" s="9"/>
      <c r="S18" s="10"/>
      <c r="T18" s="11"/>
    </row>
    <row r="19" spans="2:20" s="1" customFormat="1" x14ac:dyDescent="0.2">
      <c r="B19" s="12" t="s">
        <v>33</v>
      </c>
      <c r="C19" s="13">
        <f t="shared" ref="C19:N19" si="6">SUM(C6:C17)</f>
        <v>304</v>
      </c>
      <c r="D19" s="13">
        <f t="shared" si="6"/>
        <v>19519</v>
      </c>
      <c r="E19" s="13">
        <f>SUM(E6:E17)</f>
        <v>8373</v>
      </c>
      <c r="F19" s="13">
        <f t="shared" si="6"/>
        <v>3137</v>
      </c>
      <c r="G19" s="13">
        <f t="shared" si="6"/>
        <v>3879</v>
      </c>
      <c r="H19" s="13">
        <f t="shared" si="6"/>
        <v>1357</v>
      </c>
      <c r="I19" s="13">
        <f t="shared" si="6"/>
        <v>4995</v>
      </c>
      <c r="J19" s="13">
        <f t="shared" si="6"/>
        <v>3341</v>
      </c>
      <c r="K19" s="13">
        <f t="shared" si="6"/>
        <v>1447</v>
      </c>
      <c r="L19" s="13">
        <f t="shared" si="6"/>
        <v>0</v>
      </c>
      <c r="M19" s="13">
        <f t="shared" si="6"/>
        <v>0</v>
      </c>
      <c r="N19" s="14">
        <f t="shared" si="6"/>
        <v>17393.02</v>
      </c>
      <c r="O19" s="14">
        <f>SUM(O6:O17)</f>
        <v>14609.55</v>
      </c>
      <c r="P19" s="14"/>
      <c r="Q19" s="15">
        <f>SUM(Q6:Q17)</f>
        <v>128411</v>
      </c>
    </row>
    <row r="20" spans="2:20" s="1" customFormat="1" ht="16" thickBot="1" x14ac:dyDescent="0.25">
      <c r="B20" s="16" t="s">
        <v>34</v>
      </c>
      <c r="C20" s="17">
        <f t="shared" ref="C20:Q20" si="7">AVERAGE(C6:C17)</f>
        <v>25.333333333333332</v>
      </c>
      <c r="D20" s="17">
        <f t="shared" si="7"/>
        <v>1626.5833333333333</v>
      </c>
      <c r="E20" s="17">
        <f>AVERAGE(E6:E17)</f>
        <v>697.75</v>
      </c>
      <c r="F20" s="17">
        <f t="shared" si="7"/>
        <v>285.18181818181819</v>
      </c>
      <c r="G20" s="17">
        <f t="shared" si="7"/>
        <v>352.63636363636363</v>
      </c>
      <c r="H20" s="17">
        <f t="shared" si="7"/>
        <v>123.36363636363636</v>
      </c>
      <c r="I20" s="17">
        <f t="shared" si="7"/>
        <v>454.09090909090907</v>
      </c>
      <c r="J20" s="17">
        <f t="shared" si="7"/>
        <v>303.72727272727275</v>
      </c>
      <c r="K20" s="17">
        <f t="shared" si="7"/>
        <v>131.54545454545453</v>
      </c>
      <c r="L20" s="18">
        <f t="shared" si="7"/>
        <v>0</v>
      </c>
      <c r="M20" s="17">
        <f t="shared" si="7"/>
        <v>0</v>
      </c>
      <c r="N20" s="20">
        <f t="shared" si="7"/>
        <v>1449.4183333333333</v>
      </c>
      <c r="O20" s="20">
        <f>AVERAGE(O6:O17)</f>
        <v>1217.4624999999999</v>
      </c>
      <c r="P20" s="20">
        <f>AVERAGE(P6:P17)</f>
        <v>1.2082882549590375</v>
      </c>
      <c r="Q20" s="21">
        <f t="shared" si="7"/>
        <v>10700.916666666666</v>
      </c>
      <c r="S20" s="22">
        <f>AVERAGE(S6:S17)</f>
        <v>6.632725813830838</v>
      </c>
      <c r="T20" s="22">
        <f>AVERAGE(T6:T17)</f>
        <v>64.294457502374172</v>
      </c>
    </row>
    <row r="23" spans="2:20" x14ac:dyDescent="0.2">
      <c r="D23" s="27" t="s">
        <v>49</v>
      </c>
    </row>
  </sheetData>
  <mergeCells count="16">
    <mergeCell ref="Q4:Q5"/>
    <mergeCell ref="B2:Q2"/>
    <mergeCell ref="B3:Q3"/>
    <mergeCell ref="B4:B5"/>
    <mergeCell ref="C4:C5"/>
    <mergeCell ref="D4:D5"/>
    <mergeCell ref="E4:E5"/>
    <mergeCell ref="F4:H4"/>
    <mergeCell ref="I4:I5"/>
    <mergeCell ref="J4:J5"/>
    <mergeCell ref="K4:K5"/>
    <mergeCell ref="L4:L5"/>
    <mergeCell ref="M4:M5"/>
    <mergeCell ref="N4:N5"/>
    <mergeCell ref="O4:O5"/>
    <mergeCell ref="P4:P5"/>
  </mergeCells>
  <pageMargins left="0.7" right="0.7" top="0.75" bottom="0.75" header="0.3" footer="0.3"/>
  <pageSetup scale="77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06D0A6-70C3-4FD3-B09C-9B591A0BD079}">
  <dimension ref="A1:E9"/>
  <sheetViews>
    <sheetView workbookViewId="0"/>
  </sheetViews>
  <sheetFormatPr baseColWidth="10" defaultColWidth="8.83203125" defaultRowHeight="15" x14ac:dyDescent="0.2"/>
  <cols>
    <col min="1" max="1" width="27.33203125" bestFit="1" customWidth="1"/>
    <col min="2" max="2" width="14.6640625" bestFit="1" customWidth="1"/>
    <col min="3" max="3" width="16" bestFit="1" customWidth="1"/>
    <col min="4" max="4" width="16.6640625" bestFit="1" customWidth="1"/>
  </cols>
  <sheetData>
    <row r="1" spans="1:5" ht="16" x14ac:dyDescent="0.2">
      <c r="A1" s="32" t="s">
        <v>78</v>
      </c>
    </row>
    <row r="2" spans="1:5" x14ac:dyDescent="0.2">
      <c r="B2" t="s">
        <v>77</v>
      </c>
      <c r="C2" t="s">
        <v>76</v>
      </c>
      <c r="D2" t="s">
        <v>75</v>
      </c>
    </row>
    <row r="3" spans="1:5" x14ac:dyDescent="0.2">
      <c r="A3" t="s">
        <v>74</v>
      </c>
      <c r="B3" s="2">
        <v>30</v>
      </c>
      <c r="C3" s="2">
        <v>17.5</v>
      </c>
      <c r="D3" s="2">
        <v>54</v>
      </c>
    </row>
    <row r="4" spans="1:5" x14ac:dyDescent="0.2">
      <c r="A4" t="s">
        <v>93</v>
      </c>
      <c r="B4">
        <v>22</v>
      </c>
      <c r="C4">
        <v>22</v>
      </c>
      <c r="D4">
        <v>50</v>
      </c>
    </row>
    <row r="5" spans="1:5" ht="16" thickBot="1" x14ac:dyDescent="0.25">
      <c r="A5" t="s">
        <v>73</v>
      </c>
      <c r="D5" s="2">
        <v>1.5</v>
      </c>
    </row>
    <row r="6" spans="1:5" x14ac:dyDescent="0.2">
      <c r="A6" t="s">
        <v>72</v>
      </c>
      <c r="D6" s="2">
        <v>0.85</v>
      </c>
      <c r="E6" s="65" t="s">
        <v>79</v>
      </c>
    </row>
    <row r="7" spans="1:5" ht="16" thickBot="1" x14ac:dyDescent="0.25">
      <c r="A7" t="s">
        <v>71</v>
      </c>
      <c r="B7" s="2">
        <f>B3/B4</f>
        <v>1.3636363636363635</v>
      </c>
      <c r="C7" s="2">
        <f>C3/C4</f>
        <v>0.79545454545454541</v>
      </c>
      <c r="D7" s="2">
        <f>D3/D4</f>
        <v>1.08</v>
      </c>
      <c r="E7" s="66">
        <f>AVERAGE(B7:D7)</f>
        <v>1.0796969696969698</v>
      </c>
    </row>
    <row r="8" spans="1:5" x14ac:dyDescent="0.2">
      <c r="A8" t="s">
        <v>70</v>
      </c>
      <c r="D8">
        <f>D3/D5</f>
        <v>36</v>
      </c>
    </row>
    <row r="9" spans="1:5" x14ac:dyDescent="0.2">
      <c r="A9" t="s">
        <v>69</v>
      </c>
      <c r="D9" s="47">
        <f>D3/D6</f>
        <v>63.529411764705884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5</vt:i4>
      </vt:variant>
    </vt:vector>
  </HeadingPairs>
  <TitlesOfParts>
    <vt:vector size="13" baseType="lpstr">
      <vt:lpstr>Update</vt:lpstr>
      <vt:lpstr>Comps &amp; Projections</vt:lpstr>
      <vt:lpstr>YTD 2023</vt:lpstr>
      <vt:lpstr>2022</vt:lpstr>
      <vt:lpstr>2021</vt:lpstr>
      <vt:lpstr>2020</vt:lpstr>
      <vt:lpstr>2019</vt:lpstr>
      <vt:lpstr>Pass Fares</vt:lpstr>
      <vt:lpstr>'2019'!Print_Area</vt:lpstr>
      <vt:lpstr>'2020'!Print_Area</vt:lpstr>
      <vt:lpstr>'2021'!Print_Area</vt:lpstr>
      <vt:lpstr>'2022'!Print_Area</vt:lpstr>
      <vt:lpstr>'YTD 2023'!Print_Area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Summer Earthsong</dc:creator>
  <cp:lastModifiedBy>Colorado Transit</cp:lastModifiedBy>
  <cp:lastPrinted>2023-05-05T20:26:52Z</cp:lastPrinted>
  <dcterms:created xsi:type="dcterms:W3CDTF">2023-05-03T18:19:45Z</dcterms:created>
  <dcterms:modified xsi:type="dcterms:W3CDTF">2023-05-23T14:44:22Z</dcterms:modified>
</cp:coreProperties>
</file>